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nv-my.sharepoint.com/personal/lezliemayville_dhhs_nv_gov/Documents/Documents/Peterson-Milbank Bailit Health/Website Postings for Benchmark Page/"/>
    </mc:Choice>
  </mc:AlternateContent>
  <xr:revisionPtr revIDLastSave="0" documentId="8_{EBD29762-E067-4BCB-9D9C-6A76D8841DA4}" xr6:coauthVersionLast="47" xr6:coauthVersionMax="47" xr10:uidLastSave="{00000000-0000-0000-0000-000000000000}"/>
  <bookViews>
    <workbookView xWindow="2530" yWindow="260" windowWidth="14400" windowHeight="7370" xr2:uid="{01816E7F-7762-4536-8EDC-A4195A7A82EF}"/>
  </bookViews>
  <sheets>
    <sheet name="Contents" sheetId="1" r:id="rId1"/>
    <sheet name="Reference Tables" sheetId="9" r:id="rId2"/>
    <sheet name="1. Cover Page" sheetId="2" r:id="rId3"/>
    <sheet name="2. TME" sheetId="3" r:id="rId4"/>
    <sheet name="3. SD" sheetId="10" r:id="rId5"/>
    <sheet name="4. LOB_ENROLL" sheetId="6" r:id="rId6"/>
    <sheet name="5. RX_REBATE" sheetId="7" r:id="rId7"/>
    <sheet name="6. Mandatory Questions" sheetId="14" r:id="rId8"/>
    <sheet name="Data Validation Checks" sheetId="11" r:id="rId9"/>
    <sheet name="Validation by Market" sheetId="12" r:id="rId10"/>
    <sheet name="Validation by Provider" sheetId="13" r:id="rId11"/>
  </sheets>
  <definedNames>
    <definedName name="_ftn1" localSheetId="1">'Reference Tables'!$B$58</definedName>
    <definedName name="_ftn2" localSheetId="1">'Reference Tables'!$B$59</definedName>
    <definedName name="_ftn3" localSheetId="1">'Reference Tables'!$B$60</definedName>
    <definedName name="_ftnref1" localSheetId="1">'Reference Tables'!$B$50</definedName>
    <definedName name="_ftnref2" localSheetId="1">'Reference Tables'!$B$53</definedName>
    <definedName name="_ftnref3" localSheetId="1">'Reference Tables'!$B$55</definedName>
    <definedName name="Commercial_MemberMonths_2018">'Validation by Market'!$C$36</definedName>
    <definedName name="Commercial_MemberMonths_2019">'Validation by Market'!$D$36</definedName>
    <definedName name="Commercial_MemberMonths_2020">'Validation by Market'!$D$146</definedName>
    <definedName name="Commercial_MemberMonths_2021">'Validation by Market'!$D$256</definedName>
    <definedName name="ICC1_MemberMonths_2018">'Validation by Market'!$H$63</definedName>
    <definedName name="ICC1_MemberMonths_2019">'Validation by Market'!$I$63</definedName>
    <definedName name="ICC1_MemberMonths_2020">'Validation by Market'!$I$173</definedName>
    <definedName name="ICC1_MemberMonths_2021">'Validation by Market'!$I$283</definedName>
    <definedName name="ICC2_MemberMonths_2018">'Validation by Market'!$H$90</definedName>
    <definedName name="ICC2_MemberMonths_2019">'Validation by Market'!$I$90</definedName>
    <definedName name="ICC2_MemberMonths_2020">'Validation by Market'!$I$200</definedName>
    <definedName name="ICC2_MemberMonths_2021">'Validation by Market'!$I$310</definedName>
    <definedName name="ICC3_MemberMonths_2018">'Validation by Market'!$H$36</definedName>
    <definedName name="ICC3_MemberMonths_2019">'Validation by Market'!$I$36</definedName>
    <definedName name="ICC3_MemberMonths_2020">'Validation by Market'!$I$146</definedName>
    <definedName name="ICC3_MemberMonths_2021">'Validation by Market'!$I$256</definedName>
    <definedName name="ICC4_MemberMonths_2018">'Validation by Market'!$M$36</definedName>
    <definedName name="ICC4_MemberMonths_2019">'Validation by Market'!$N$36</definedName>
    <definedName name="ICC4_MemberMonths_2020">'Validation by Market'!$N$146</definedName>
    <definedName name="ICC4_MemberMonths_2021">'Validation by Market'!$N$256</definedName>
    <definedName name="ICC5_MemberMonths_2018">'Validation by Market'!$M$63</definedName>
    <definedName name="ICC5_MemberMonths_2019">'Validation by Market'!$N$63</definedName>
    <definedName name="ICC5_MemberMonths_2020">'Validation by Market'!$N$173</definedName>
    <definedName name="ICC5_MemberMonths_2021">'Validation by Market'!$N$283</definedName>
    <definedName name="ICC6_MemberMonths_2018">'Validation by Market'!$M$90</definedName>
    <definedName name="ICC6_MemberMonths_2019">'Validation by Market'!$N$90</definedName>
    <definedName name="ICC6_MemberMonths_2020">'Validation by Market'!$N$200</definedName>
    <definedName name="ICC6_MemberMonths_2021">'Validation by Market'!$N$310</definedName>
    <definedName name="Insurer_Code">'Data Validation Checks'!$B$4</definedName>
    <definedName name="Medicaid_MemberMonths_2018">'Validation by Market'!$C$90</definedName>
    <definedName name="Medicaid_MemberMonths_2019">'Validation by Market'!$D$90</definedName>
    <definedName name="Medicaid_MemberMonths_2020">'Validation by Market'!$D$200</definedName>
    <definedName name="Medicaid_MemberMonths_2021">'Validation by Market'!$D$310</definedName>
    <definedName name="Medicare_MemberMonths_2018">'Validation by Market'!$C$63</definedName>
    <definedName name="Medicare_MemberMonths_2019">'Validation by Market'!$D$63</definedName>
    <definedName name="Medicare_MemberMonths_2020">'Validation by Market'!$D$173</definedName>
    <definedName name="Medicare_MemberMonths_2021">'Validation by Market'!$D$283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5" i="11" l="1"/>
  <c r="C24" i="11"/>
  <c r="C23" i="11"/>
  <c r="C22" i="11"/>
  <c r="C21" i="11"/>
  <c r="O14" i="11"/>
  <c r="K14" i="11"/>
  <c r="G14" i="11"/>
  <c r="F48" i="11"/>
  <c r="E48" i="11"/>
  <c r="C48" i="11"/>
  <c r="F47" i="11"/>
  <c r="G47" i="11" s="1" a="1"/>
  <c r="G47" i="11" s="1"/>
  <c r="E47" i="11"/>
  <c r="C47" i="11"/>
  <c r="F46" i="11"/>
  <c r="E46" i="11"/>
  <c r="C46" i="11"/>
  <c r="F45" i="11"/>
  <c r="E45" i="11"/>
  <c r="C45" i="11"/>
  <c r="F44" i="11"/>
  <c r="G44" i="11" s="1" a="1"/>
  <c r="G44" i="11" s="1"/>
  <c r="E44" i="11"/>
  <c r="C44" i="11"/>
  <c r="F43" i="11"/>
  <c r="E43" i="11"/>
  <c r="C43" i="11"/>
  <c r="B36" i="11"/>
  <c r="B35" i="11"/>
  <c r="B34" i="11"/>
  <c r="B33" i="11"/>
  <c r="B25" i="11"/>
  <c r="D60" i="11" s="1"/>
  <c r="B24" i="11"/>
  <c r="E59" i="11" s="1"/>
  <c r="B23" i="11"/>
  <c r="F58" i="11" s="1"/>
  <c r="B22" i="11"/>
  <c r="G57" i="11" s="1"/>
  <c r="B21" i="11"/>
  <c r="H56" i="11" s="1"/>
  <c r="B20" i="11"/>
  <c r="K55" i="11" s="1"/>
  <c r="C14" i="11"/>
  <c r="C13" i="11"/>
  <c r="C12" i="11"/>
  <c r="C11" i="11"/>
  <c r="C10" i="11"/>
  <c r="AZ171" i="13"/>
  <c r="BE171" i="13" s="1"/>
  <c r="AT171" i="13"/>
  <c r="AW171" i="13" s="1"/>
  <c r="AE171" i="13"/>
  <c r="AF171" i="13" s="1"/>
  <c r="Y171" i="13"/>
  <c r="AD171" i="13" s="1"/>
  <c r="J171" i="13"/>
  <c r="O171" i="13" s="1"/>
  <c r="D171" i="13"/>
  <c r="G171" i="13" s="1"/>
  <c r="AZ170" i="13"/>
  <c r="BA170" i="13" s="1"/>
  <c r="AT170" i="13"/>
  <c r="AY170" i="13" s="1"/>
  <c r="AE170" i="13"/>
  <c r="AJ170" i="13" s="1"/>
  <c r="Y170" i="13"/>
  <c r="J170" i="13"/>
  <c r="D170" i="13"/>
  <c r="I170" i="13" s="1"/>
  <c r="AZ169" i="13"/>
  <c r="BE169" i="13" s="1"/>
  <c r="AT169" i="13"/>
  <c r="AW169" i="13" s="1"/>
  <c r="AE169" i="13"/>
  <c r="AF169" i="13" s="1"/>
  <c r="Y169" i="13"/>
  <c r="AD169" i="13" s="1"/>
  <c r="J169" i="13"/>
  <c r="O169" i="13" s="1"/>
  <c r="D169" i="13"/>
  <c r="G169" i="13" s="1"/>
  <c r="AZ168" i="13"/>
  <c r="BA168" i="13" s="1"/>
  <c r="AT168" i="13"/>
  <c r="AY168" i="13" s="1"/>
  <c r="AE168" i="13"/>
  <c r="AJ168" i="13" s="1"/>
  <c r="Y168" i="13"/>
  <c r="AB168" i="13" s="1"/>
  <c r="J168" i="13"/>
  <c r="K168" i="13" s="1"/>
  <c r="D168" i="13"/>
  <c r="I168" i="13" s="1"/>
  <c r="AZ167" i="13"/>
  <c r="BE167" i="13" s="1"/>
  <c r="AT167" i="13"/>
  <c r="AW167" i="13" s="1"/>
  <c r="AE167" i="13"/>
  <c r="Y167" i="13"/>
  <c r="AD167" i="13" s="1"/>
  <c r="J167" i="13"/>
  <c r="O167" i="13" s="1"/>
  <c r="D167" i="13"/>
  <c r="G167" i="13" s="1"/>
  <c r="AZ166" i="13"/>
  <c r="BA166" i="13" s="1"/>
  <c r="AT166" i="13"/>
  <c r="AY166" i="13" s="1"/>
  <c r="AE166" i="13"/>
  <c r="AJ166" i="13" s="1"/>
  <c r="Y166" i="13"/>
  <c r="J166" i="13"/>
  <c r="K166" i="13" s="1"/>
  <c r="D166" i="13"/>
  <c r="I166" i="13" s="1"/>
  <c r="AZ165" i="13"/>
  <c r="BE165" i="13" s="1"/>
  <c r="AT165" i="13"/>
  <c r="AE165" i="13"/>
  <c r="AF165" i="13" s="1"/>
  <c r="Y165" i="13"/>
  <c r="AD165" i="13" s="1"/>
  <c r="J165" i="13"/>
  <c r="O165" i="13" s="1"/>
  <c r="D165" i="13"/>
  <c r="AZ164" i="13"/>
  <c r="BA164" i="13" s="1"/>
  <c r="AT164" i="13"/>
  <c r="AY164" i="13" s="1"/>
  <c r="AE164" i="13"/>
  <c r="AJ164" i="13" s="1"/>
  <c r="Y164" i="13"/>
  <c r="J164" i="13"/>
  <c r="K164" i="13" s="1"/>
  <c r="D164" i="13"/>
  <c r="I164" i="13" s="1"/>
  <c r="AZ163" i="13"/>
  <c r="BE163" i="13" s="1"/>
  <c r="AT163" i="13"/>
  <c r="AE163" i="13"/>
  <c r="AF163" i="13" s="1"/>
  <c r="Y163" i="13"/>
  <c r="AD163" i="13" s="1"/>
  <c r="J163" i="13"/>
  <c r="O163" i="13" s="1"/>
  <c r="D163" i="13"/>
  <c r="AZ162" i="13"/>
  <c r="BA162" i="13" s="1"/>
  <c r="AT162" i="13"/>
  <c r="AY162" i="13" s="1"/>
  <c r="AE162" i="13"/>
  <c r="AJ162" i="13" s="1"/>
  <c r="Y162" i="13"/>
  <c r="J162" i="13"/>
  <c r="K162" i="13" s="1"/>
  <c r="D162" i="13"/>
  <c r="I162" i="13" s="1"/>
  <c r="AZ161" i="13"/>
  <c r="BE161" i="13" s="1"/>
  <c r="AT161" i="13"/>
  <c r="AE161" i="13"/>
  <c r="AF161" i="13" s="1"/>
  <c r="Y161" i="13"/>
  <c r="AA161" i="13" s="1"/>
  <c r="J161" i="13"/>
  <c r="O161" i="13" s="1"/>
  <c r="D161" i="13"/>
  <c r="AZ160" i="13"/>
  <c r="BA160" i="13" s="1"/>
  <c r="AT160" i="13"/>
  <c r="AV160" i="13" s="1"/>
  <c r="AE160" i="13"/>
  <c r="AJ160" i="13" s="1"/>
  <c r="Y160" i="13"/>
  <c r="J160" i="13"/>
  <c r="K160" i="13" s="1"/>
  <c r="D160" i="13"/>
  <c r="I160" i="13" s="1"/>
  <c r="AZ152" i="13"/>
  <c r="BE152" i="13" s="1"/>
  <c r="AT152" i="13"/>
  <c r="AW152" i="13" s="1"/>
  <c r="AE152" i="13"/>
  <c r="AF152" i="13" s="1"/>
  <c r="Y152" i="13"/>
  <c r="AD152" i="13" s="1"/>
  <c r="J152" i="13"/>
  <c r="O152" i="13" s="1"/>
  <c r="D152" i="13"/>
  <c r="G152" i="13" s="1"/>
  <c r="AZ151" i="13"/>
  <c r="BA151" i="13" s="1"/>
  <c r="AT151" i="13"/>
  <c r="AY151" i="13" s="1"/>
  <c r="AE151" i="13"/>
  <c r="Y151" i="13"/>
  <c r="AB151" i="13" s="1"/>
  <c r="J151" i="13"/>
  <c r="D151" i="13"/>
  <c r="F151" i="13" s="1"/>
  <c r="AZ150" i="13"/>
  <c r="AT150" i="13"/>
  <c r="AW150" i="13" s="1"/>
  <c r="AE150" i="13"/>
  <c r="AF150" i="13" s="1"/>
  <c r="Y150" i="13"/>
  <c r="AA150" i="13" s="1"/>
  <c r="J150" i="13"/>
  <c r="D150" i="13"/>
  <c r="AZ149" i="13"/>
  <c r="BA149" i="13" s="1"/>
  <c r="AT149" i="13"/>
  <c r="AV149" i="13" s="1"/>
  <c r="AE149" i="13"/>
  <c r="Y149" i="13"/>
  <c r="AB149" i="13" s="1"/>
  <c r="J149" i="13"/>
  <c r="K149" i="13" s="1"/>
  <c r="D149" i="13"/>
  <c r="AZ148" i="13"/>
  <c r="AT148" i="13"/>
  <c r="AW148" i="13" s="1"/>
  <c r="AE148" i="13"/>
  <c r="AF148" i="13" s="1"/>
  <c r="Y148" i="13"/>
  <c r="AA148" i="13" s="1"/>
  <c r="J148" i="13"/>
  <c r="D148" i="13"/>
  <c r="AZ147" i="13"/>
  <c r="BA147" i="13" s="1"/>
  <c r="AT147" i="13"/>
  <c r="AE147" i="13"/>
  <c r="Y147" i="13"/>
  <c r="J147" i="13"/>
  <c r="K147" i="13" s="1"/>
  <c r="D147" i="13"/>
  <c r="F147" i="13" s="1"/>
  <c r="AZ146" i="13"/>
  <c r="AT146" i="13"/>
  <c r="AE146" i="13"/>
  <c r="AF146" i="13" s="1"/>
  <c r="Y146" i="13"/>
  <c r="AA146" i="13" s="1"/>
  <c r="J146" i="13"/>
  <c r="D146" i="13"/>
  <c r="G146" i="13" s="1"/>
  <c r="AZ145" i="13"/>
  <c r="BA145" i="13" s="1"/>
  <c r="AT145" i="13"/>
  <c r="AV145" i="13" s="1"/>
  <c r="AE145" i="13"/>
  <c r="Y145" i="13"/>
  <c r="AB145" i="13" s="1"/>
  <c r="J145" i="13"/>
  <c r="D145" i="13"/>
  <c r="AZ144" i="13"/>
  <c r="AT144" i="13"/>
  <c r="AW144" i="13" s="1"/>
  <c r="AE144" i="13"/>
  <c r="Y144" i="13"/>
  <c r="AA144" i="13" s="1"/>
  <c r="J144" i="13"/>
  <c r="D144" i="13"/>
  <c r="G144" i="13" s="1"/>
  <c r="AZ143" i="13"/>
  <c r="BB143" i="13" s="1"/>
  <c r="AT143" i="13"/>
  <c r="AV143" i="13" s="1"/>
  <c r="AE143" i="13"/>
  <c r="AI143" i="13" s="1"/>
  <c r="Y143" i="13"/>
  <c r="J143" i="13"/>
  <c r="L143" i="13" s="1"/>
  <c r="D143" i="13"/>
  <c r="AZ142" i="13"/>
  <c r="BD142" i="13" s="1"/>
  <c r="AT142" i="13"/>
  <c r="AE142" i="13"/>
  <c r="Y142" i="13"/>
  <c r="AA142" i="13" s="1"/>
  <c r="J142" i="13"/>
  <c r="N142" i="13" s="1"/>
  <c r="D142" i="13"/>
  <c r="AZ141" i="13"/>
  <c r="AT141" i="13"/>
  <c r="AV141" i="13" s="1"/>
  <c r="AE141" i="13"/>
  <c r="AI141" i="13" s="1"/>
  <c r="Y141" i="13"/>
  <c r="AB141" i="13" s="1"/>
  <c r="J141" i="13"/>
  <c r="N141" i="13" s="1"/>
  <c r="D141" i="13"/>
  <c r="F141" i="13" s="1"/>
  <c r="AZ114" i="13"/>
  <c r="AT114" i="13"/>
  <c r="AW114" i="13" s="1"/>
  <c r="AE114" i="13"/>
  <c r="AF114" i="13" s="1"/>
  <c r="Y114" i="13"/>
  <c r="AD114" i="13" s="1"/>
  <c r="J114" i="13"/>
  <c r="O114" i="13" s="1"/>
  <c r="D114" i="13"/>
  <c r="G114" i="13" s="1"/>
  <c r="AZ113" i="13"/>
  <c r="AT113" i="13"/>
  <c r="AY113" i="13" s="1"/>
  <c r="AE113" i="13"/>
  <c r="AJ113" i="13" s="1"/>
  <c r="Y113" i="13"/>
  <c r="J113" i="13"/>
  <c r="K113" i="13" s="1"/>
  <c r="D113" i="13"/>
  <c r="I113" i="13" s="1"/>
  <c r="AZ112" i="13"/>
  <c r="BE112" i="13" s="1"/>
  <c r="AT112" i="13"/>
  <c r="AW112" i="13" s="1"/>
  <c r="AE112" i="13"/>
  <c r="AF112" i="13" s="1"/>
  <c r="Y112" i="13"/>
  <c r="AD112" i="13" s="1"/>
  <c r="J112" i="13"/>
  <c r="D112" i="13"/>
  <c r="G112" i="13" s="1"/>
  <c r="AZ111" i="13"/>
  <c r="BA111" i="13" s="1"/>
  <c r="AT111" i="13"/>
  <c r="AY111" i="13" s="1"/>
  <c r="AE111" i="13"/>
  <c r="AJ111" i="13" s="1"/>
  <c r="Y111" i="13"/>
  <c r="AB111" i="13" s="1"/>
  <c r="J111" i="13"/>
  <c r="D111" i="13"/>
  <c r="I111" i="13" s="1"/>
  <c r="AZ110" i="13"/>
  <c r="BE110" i="13" s="1"/>
  <c r="AT110" i="13"/>
  <c r="AE110" i="13"/>
  <c r="AF110" i="13" s="1"/>
  <c r="Y110" i="13"/>
  <c r="AD110" i="13" s="1"/>
  <c r="J110" i="13"/>
  <c r="O110" i="13" s="1"/>
  <c r="D110" i="13"/>
  <c r="G110" i="13" s="1"/>
  <c r="AZ109" i="13"/>
  <c r="BA109" i="13" s="1"/>
  <c r="AT109" i="13"/>
  <c r="AY109" i="13" s="1"/>
  <c r="AE109" i="13"/>
  <c r="Y109" i="13"/>
  <c r="AB109" i="13" s="1"/>
  <c r="J109" i="13"/>
  <c r="K109" i="13" s="1"/>
  <c r="D109" i="13"/>
  <c r="AZ108" i="13"/>
  <c r="BD108" i="13" s="1"/>
  <c r="AT108" i="13"/>
  <c r="AW108" i="13" s="1"/>
  <c r="AE108" i="13"/>
  <c r="AG108" i="13" s="1"/>
  <c r="Y108" i="13"/>
  <c r="J108" i="13"/>
  <c r="O108" i="13" s="1"/>
  <c r="D108" i="13"/>
  <c r="G108" i="13" s="1"/>
  <c r="AZ107" i="13"/>
  <c r="BA107" i="13" s="1"/>
  <c r="AT107" i="13"/>
  <c r="AX107" i="13" s="1"/>
  <c r="AE107" i="13"/>
  <c r="AJ107" i="13" s="1"/>
  <c r="Y107" i="13"/>
  <c r="AB107" i="13" s="1"/>
  <c r="J107" i="13"/>
  <c r="K107" i="13" s="1"/>
  <c r="D107" i="13"/>
  <c r="H107" i="13" s="1"/>
  <c r="AZ106" i="13"/>
  <c r="BE106" i="13" s="1"/>
  <c r="AT106" i="13"/>
  <c r="AU106" i="13" s="1"/>
  <c r="AE106" i="13"/>
  <c r="AF106" i="13" s="1"/>
  <c r="Y106" i="13"/>
  <c r="AC106" i="13" s="1"/>
  <c r="J106" i="13"/>
  <c r="D106" i="13"/>
  <c r="G106" i="13" s="1"/>
  <c r="AZ105" i="13"/>
  <c r="BA105" i="13" s="1"/>
  <c r="AT105" i="13"/>
  <c r="AX105" i="13" s="1"/>
  <c r="AE105" i="13"/>
  <c r="Y105" i="13"/>
  <c r="AB105" i="13" s="1"/>
  <c r="J105" i="13"/>
  <c r="K105" i="13" s="1"/>
  <c r="D105" i="13"/>
  <c r="H105" i="13" s="1"/>
  <c r="AZ104" i="13"/>
  <c r="BE104" i="13" s="1"/>
  <c r="AT104" i="13"/>
  <c r="AW104" i="13" s="1"/>
  <c r="AE104" i="13"/>
  <c r="AF104" i="13" s="1"/>
  <c r="Y104" i="13"/>
  <c r="AC104" i="13" s="1"/>
  <c r="J104" i="13"/>
  <c r="D104" i="13"/>
  <c r="G104" i="13" s="1"/>
  <c r="AZ103" i="13"/>
  <c r="BA103" i="13" s="1"/>
  <c r="AT103" i="13"/>
  <c r="AE103" i="13"/>
  <c r="AJ103" i="13" s="1"/>
  <c r="Y103" i="13"/>
  <c r="J103" i="13"/>
  <c r="K103" i="13" s="1"/>
  <c r="D103" i="13"/>
  <c r="AZ95" i="13"/>
  <c r="BE95" i="13" s="1"/>
  <c r="AT95" i="13"/>
  <c r="AW95" i="13" s="1"/>
  <c r="AE95" i="13"/>
  <c r="AF95" i="13" s="1"/>
  <c r="Y95" i="13"/>
  <c r="AD95" i="13" s="1"/>
  <c r="J95" i="13"/>
  <c r="O95" i="13" s="1"/>
  <c r="D95" i="13"/>
  <c r="AZ94" i="13"/>
  <c r="BD94" i="13" s="1"/>
  <c r="AT94" i="13"/>
  <c r="AE94" i="13"/>
  <c r="AJ94" i="13" s="1"/>
  <c r="Y94" i="13"/>
  <c r="AB94" i="13" s="1"/>
  <c r="J94" i="13"/>
  <c r="K94" i="13" s="1"/>
  <c r="D94" i="13"/>
  <c r="AZ93" i="13"/>
  <c r="BE93" i="13" s="1"/>
  <c r="AT93" i="13"/>
  <c r="AW93" i="13" s="1"/>
  <c r="AE93" i="13"/>
  <c r="AG93" i="13" s="1"/>
  <c r="Y93" i="13"/>
  <c r="J93" i="13"/>
  <c r="O93" i="13" s="1"/>
  <c r="D93" i="13"/>
  <c r="G93" i="13" s="1"/>
  <c r="AZ92" i="13"/>
  <c r="AT92" i="13"/>
  <c r="AE92" i="13"/>
  <c r="AJ92" i="13" s="1"/>
  <c r="Y92" i="13"/>
  <c r="AB92" i="13" s="1"/>
  <c r="J92" i="13"/>
  <c r="K92" i="13" s="1"/>
  <c r="D92" i="13"/>
  <c r="AZ91" i="13"/>
  <c r="AT91" i="13"/>
  <c r="AE91" i="13"/>
  <c r="AF91" i="13" s="1"/>
  <c r="Y91" i="13"/>
  <c r="J91" i="13"/>
  <c r="O91" i="13" s="1"/>
  <c r="D91" i="13"/>
  <c r="G91" i="13" s="1"/>
  <c r="AZ90" i="13"/>
  <c r="BA90" i="13" s="1"/>
  <c r="AT90" i="13"/>
  <c r="AV90" i="13" s="1"/>
  <c r="AE90" i="13"/>
  <c r="Y90" i="13"/>
  <c r="AB90" i="13" s="1"/>
  <c r="J90" i="13"/>
  <c r="K90" i="13" s="1"/>
  <c r="D90" i="13"/>
  <c r="F90" i="13" s="1"/>
  <c r="AZ89" i="13"/>
  <c r="AT89" i="13"/>
  <c r="AW89" i="13" s="1"/>
  <c r="AE89" i="13"/>
  <c r="AF89" i="13" s="1"/>
  <c r="Y89" i="13"/>
  <c r="AA89" i="13" s="1"/>
  <c r="J89" i="13"/>
  <c r="D89" i="13"/>
  <c r="G89" i="13" s="1"/>
  <c r="AZ88" i="13"/>
  <c r="BA88" i="13" s="1"/>
  <c r="AT88" i="13"/>
  <c r="AV88" i="13" s="1"/>
  <c r="AE88" i="13"/>
  <c r="Y88" i="13"/>
  <c r="AB88" i="13" s="1"/>
  <c r="J88" i="13"/>
  <c r="K88" i="13" s="1"/>
  <c r="D88" i="13"/>
  <c r="F88" i="13" s="1"/>
  <c r="AZ87" i="13"/>
  <c r="AT87" i="13"/>
  <c r="AW87" i="13" s="1"/>
  <c r="AE87" i="13"/>
  <c r="AF87" i="13" s="1"/>
  <c r="Y87" i="13"/>
  <c r="AA87" i="13" s="1"/>
  <c r="J87" i="13"/>
  <c r="D87" i="13"/>
  <c r="G87" i="13" s="1"/>
  <c r="AZ86" i="13"/>
  <c r="BA86" i="13" s="1"/>
  <c r="AT86" i="13"/>
  <c r="AE86" i="13"/>
  <c r="Y86" i="13"/>
  <c r="AB86" i="13" s="1"/>
  <c r="J86" i="13"/>
  <c r="K86" i="13" s="1"/>
  <c r="D86" i="13"/>
  <c r="F86" i="13" s="1"/>
  <c r="AZ85" i="13"/>
  <c r="AT85" i="13"/>
  <c r="AW85" i="13" s="1"/>
  <c r="AE85" i="13"/>
  <c r="AF85" i="13" s="1"/>
  <c r="Y85" i="13"/>
  <c r="AA85" i="13" s="1"/>
  <c r="J85" i="13"/>
  <c r="L85" i="13" s="1"/>
  <c r="D85" i="13"/>
  <c r="H85" i="13" s="1"/>
  <c r="AZ84" i="13"/>
  <c r="BB84" i="13" s="1"/>
  <c r="AT84" i="13"/>
  <c r="AE84" i="13"/>
  <c r="Y84" i="13"/>
  <c r="AC84" i="13" s="1"/>
  <c r="J84" i="13"/>
  <c r="L84" i="13" s="1"/>
  <c r="D84" i="13"/>
  <c r="AZ57" i="13"/>
  <c r="BB57" i="13" s="1"/>
  <c r="AT57" i="13"/>
  <c r="AW57" i="13" s="1"/>
  <c r="AE57" i="13"/>
  <c r="AF57" i="13" s="1"/>
  <c r="Y57" i="13"/>
  <c r="AD57" i="13" s="1"/>
  <c r="J57" i="13"/>
  <c r="D57" i="13"/>
  <c r="G57" i="13" s="1"/>
  <c r="AZ56" i="13"/>
  <c r="BA56" i="13" s="1"/>
  <c r="AT56" i="13"/>
  <c r="AE56" i="13"/>
  <c r="AJ56" i="13" s="1"/>
  <c r="Y56" i="13"/>
  <c r="AB56" i="13" s="1"/>
  <c r="J56" i="13"/>
  <c r="K56" i="13" s="1"/>
  <c r="D56" i="13"/>
  <c r="I56" i="13" s="1"/>
  <c r="AZ55" i="13"/>
  <c r="BE55" i="13" s="1"/>
  <c r="AT55" i="13"/>
  <c r="AW55" i="13" s="1"/>
  <c r="AE55" i="13"/>
  <c r="AF55" i="13" s="1"/>
  <c r="Y55" i="13"/>
  <c r="AD55" i="13" s="1"/>
  <c r="J55" i="13"/>
  <c r="O55" i="13" s="1"/>
  <c r="D55" i="13"/>
  <c r="G55" i="13" s="1"/>
  <c r="AZ54" i="13"/>
  <c r="BA54" i="13" s="1"/>
  <c r="AT54" i="13"/>
  <c r="AY54" i="13" s="1"/>
  <c r="AE54" i="13"/>
  <c r="AI54" i="13" s="1"/>
  <c r="Y54" i="13"/>
  <c r="AB54" i="13" s="1"/>
  <c r="J54" i="13"/>
  <c r="K54" i="13" s="1"/>
  <c r="D54" i="13"/>
  <c r="AZ53" i="13"/>
  <c r="BE53" i="13" s="1"/>
  <c r="AT53" i="13"/>
  <c r="AW53" i="13" s="1"/>
  <c r="AE53" i="13"/>
  <c r="AF53" i="13" s="1"/>
  <c r="Y53" i="13"/>
  <c r="AD53" i="13" s="1"/>
  <c r="J53" i="13"/>
  <c r="O53" i="13" s="1"/>
  <c r="D53" i="13"/>
  <c r="AZ52" i="13"/>
  <c r="BA52" i="13" s="1"/>
  <c r="AT52" i="13"/>
  <c r="AY52" i="13" s="1"/>
  <c r="AE52" i="13"/>
  <c r="AG52" i="13" s="1"/>
  <c r="Y52" i="13"/>
  <c r="J52" i="13"/>
  <c r="K52" i="13" s="1"/>
  <c r="D52" i="13"/>
  <c r="I52" i="13" s="1"/>
  <c r="AZ51" i="13"/>
  <c r="AT51" i="13"/>
  <c r="AE51" i="13"/>
  <c r="AF51" i="13" s="1"/>
  <c r="Y51" i="13"/>
  <c r="J51" i="13"/>
  <c r="O51" i="13" s="1"/>
  <c r="D51" i="13"/>
  <c r="AZ50" i="13"/>
  <c r="AT50" i="13"/>
  <c r="AE50" i="13"/>
  <c r="AJ50" i="13" s="1"/>
  <c r="Y50" i="13"/>
  <c r="AA50" i="13" s="1"/>
  <c r="J50" i="13"/>
  <c r="D50" i="13"/>
  <c r="AZ49" i="13"/>
  <c r="BE49" i="13" s="1"/>
  <c r="AT49" i="13"/>
  <c r="AV49" i="13" s="1"/>
  <c r="AE49" i="13"/>
  <c r="Y49" i="13"/>
  <c r="J49" i="13"/>
  <c r="O49" i="13" s="1"/>
  <c r="D49" i="13"/>
  <c r="F49" i="13" s="1"/>
  <c r="AZ48" i="13"/>
  <c r="AT48" i="13"/>
  <c r="AE48" i="13"/>
  <c r="AJ48" i="13" s="1"/>
  <c r="Y48" i="13"/>
  <c r="AA48" i="13" s="1"/>
  <c r="J48" i="13"/>
  <c r="D48" i="13"/>
  <c r="H48" i="13" s="1"/>
  <c r="AZ47" i="13"/>
  <c r="BE47" i="13" s="1"/>
  <c r="AT47" i="13"/>
  <c r="AX47" i="13" s="1"/>
  <c r="AE47" i="13"/>
  <c r="Y47" i="13"/>
  <c r="AC47" i="13" s="1"/>
  <c r="J47" i="13"/>
  <c r="O47" i="13" s="1"/>
  <c r="D47" i="13"/>
  <c r="AZ46" i="13"/>
  <c r="AT46" i="13"/>
  <c r="AE46" i="13"/>
  <c r="AI46" i="13" s="1"/>
  <c r="Y46" i="13"/>
  <c r="J46" i="13"/>
  <c r="D46" i="13"/>
  <c r="H46" i="13" s="1"/>
  <c r="AT38" i="13"/>
  <c r="AT37" i="13"/>
  <c r="AY37" i="13" s="1"/>
  <c r="AT36" i="13"/>
  <c r="AY36" i="13" s="1"/>
  <c r="AT35" i="13"/>
  <c r="AW35" i="13" s="1"/>
  <c r="AT34" i="13"/>
  <c r="AV34" i="13" s="1"/>
  <c r="AT33" i="13"/>
  <c r="AY33" i="13" s="1"/>
  <c r="AT32" i="13"/>
  <c r="AT31" i="13"/>
  <c r="AX31" i="13" s="1"/>
  <c r="AT30" i="13"/>
  <c r="AU30" i="13" s="1"/>
  <c r="AT29" i="13"/>
  <c r="AT28" i="13"/>
  <c r="AY28" i="13" s="1"/>
  <c r="AT27" i="13"/>
  <c r="AV27" i="13" s="1"/>
  <c r="AZ38" i="13"/>
  <c r="BB38" i="13" s="1"/>
  <c r="AZ37" i="13"/>
  <c r="BE37" i="13" s="1"/>
  <c r="AZ36" i="13"/>
  <c r="BD36" i="13" s="1"/>
  <c r="AZ35" i="13"/>
  <c r="BC35" i="13" s="1"/>
  <c r="AZ34" i="13"/>
  <c r="AZ33" i="13"/>
  <c r="BC33" i="13" s="1"/>
  <c r="AZ32" i="13"/>
  <c r="BE32" i="13" s="1"/>
  <c r="AZ31" i="13"/>
  <c r="AZ30" i="13"/>
  <c r="BB30" i="13" s="1"/>
  <c r="AZ29" i="13"/>
  <c r="BE29" i="13" s="1"/>
  <c r="AZ28" i="13"/>
  <c r="AZ27" i="13"/>
  <c r="BD27" i="13" s="1"/>
  <c r="Y38" i="13"/>
  <c r="AA38" i="13" s="1"/>
  <c r="Y37" i="13"/>
  <c r="AD37" i="13" s="1"/>
  <c r="Y36" i="13"/>
  <c r="AD36" i="13" s="1"/>
  <c r="Y35" i="13"/>
  <c r="Y34" i="13"/>
  <c r="AA34" i="13" s="1"/>
  <c r="Y33" i="13"/>
  <c r="Y32" i="13"/>
  <c r="AD32" i="13" s="1"/>
  <c r="Y31" i="13"/>
  <c r="AA31" i="13" s="1"/>
  <c r="Y30" i="13"/>
  <c r="Y29" i="13"/>
  <c r="AD29" i="13" s="1"/>
  <c r="Y28" i="13"/>
  <c r="AD28" i="13" s="1"/>
  <c r="Y27" i="13"/>
  <c r="AB27" i="13" s="1"/>
  <c r="AE38" i="13"/>
  <c r="AG38" i="13" s="1"/>
  <c r="AE37" i="13"/>
  <c r="AJ37" i="13" s="1"/>
  <c r="AE36" i="13"/>
  <c r="AH36" i="13" s="1"/>
  <c r="AE35" i="13"/>
  <c r="AF35" i="13" s="1"/>
  <c r="AE34" i="13"/>
  <c r="AG34" i="13" s="1"/>
  <c r="AE33" i="13"/>
  <c r="AJ33" i="13" s="1"/>
  <c r="AE32" i="13"/>
  <c r="AH32" i="13" s="1"/>
  <c r="AE31" i="13"/>
  <c r="AJ31" i="13" s="1"/>
  <c r="AE30" i="13"/>
  <c r="AE29" i="13"/>
  <c r="AJ29" i="13" s="1"/>
  <c r="AE28" i="13"/>
  <c r="AH28" i="13" s="1"/>
  <c r="AE27" i="13"/>
  <c r="AH27" i="13" s="1"/>
  <c r="J27" i="13"/>
  <c r="K27" i="13" s="1"/>
  <c r="J28" i="13"/>
  <c r="K28" i="13" s="1"/>
  <c r="J29" i="13"/>
  <c r="M29" i="13" s="1"/>
  <c r="J30" i="13"/>
  <c r="K30" i="13" s="1"/>
  <c r="J31" i="13"/>
  <c r="K31" i="13" s="1"/>
  <c r="J32" i="13"/>
  <c r="N32" i="13" s="1"/>
  <c r="J33" i="13"/>
  <c r="K33" i="13" s="1"/>
  <c r="J34" i="13"/>
  <c r="K34" i="13" s="1"/>
  <c r="J35" i="13"/>
  <c r="L35" i="13" s="1"/>
  <c r="J36" i="13"/>
  <c r="M36" i="13" s="1"/>
  <c r="J37" i="13"/>
  <c r="K37" i="13" s="1"/>
  <c r="J38" i="13"/>
  <c r="L38" i="13" s="1"/>
  <c r="G46" i="11" a="1"/>
  <c r="G46" i="11" s="1"/>
  <c r="J133" i="13" l="1"/>
  <c r="P171" i="13"/>
  <c r="AE131" i="13"/>
  <c r="AF131" i="13" s="1"/>
  <c r="J126" i="13"/>
  <c r="D133" i="13"/>
  <c r="G133" i="13" s="1"/>
  <c r="P114" i="13"/>
  <c r="BB29" i="13"/>
  <c r="AT133" i="13"/>
  <c r="AX133" i="13" s="1"/>
  <c r="Y124" i="13"/>
  <c r="AB124" i="13" s="1"/>
  <c r="BB35" i="13"/>
  <c r="AZ132" i="13"/>
  <c r="H110" i="13"/>
  <c r="N49" i="13"/>
  <c r="AT129" i="13"/>
  <c r="AW129" i="13" s="1"/>
  <c r="N94" i="13"/>
  <c r="AZ130" i="13"/>
  <c r="BB130" i="13" s="1"/>
  <c r="P90" i="13"/>
  <c r="BF148" i="13"/>
  <c r="D73" i="13"/>
  <c r="H73" i="13" s="1"/>
  <c r="AC141" i="13"/>
  <c r="L149" i="13"/>
  <c r="P87" i="13"/>
  <c r="AC88" i="13"/>
  <c r="BD90" i="13"/>
  <c r="BF105" i="13"/>
  <c r="D128" i="13"/>
  <c r="H128" i="13" s="1"/>
  <c r="BC29" i="13"/>
  <c r="AI27" i="13"/>
  <c r="AX52" i="13"/>
  <c r="L55" i="13"/>
  <c r="J70" i="13"/>
  <c r="L70" i="13" s="1"/>
  <c r="L94" i="13"/>
  <c r="AX167" i="13"/>
  <c r="BB168" i="13"/>
  <c r="N29" i="13"/>
  <c r="AT65" i="13"/>
  <c r="AY65" i="13" s="1"/>
  <c r="K29" i="13"/>
  <c r="H87" i="13"/>
  <c r="E106" i="13"/>
  <c r="N108" i="13"/>
  <c r="Z109" i="13"/>
  <c r="AK145" i="13"/>
  <c r="N47" i="13"/>
  <c r="L86" i="13"/>
  <c r="R86" i="13" s="1"/>
  <c r="AU114" i="13"/>
  <c r="K32" i="13"/>
  <c r="H56" i="13"/>
  <c r="BF111" i="13"/>
  <c r="AH107" i="13"/>
  <c r="AN107" i="13" s="1"/>
  <c r="M32" i="13"/>
  <c r="AI50" i="13"/>
  <c r="AC55" i="13"/>
  <c r="AG110" i="13"/>
  <c r="AH111" i="13"/>
  <c r="AN111" i="13" s="1"/>
  <c r="AG112" i="13"/>
  <c r="BD168" i="13"/>
  <c r="L32" i="13"/>
  <c r="AE73" i="13"/>
  <c r="AG73" i="13" s="1"/>
  <c r="AI111" i="13"/>
  <c r="BB86" i="13"/>
  <c r="H91" i="13"/>
  <c r="AG95" i="13"/>
  <c r="BC110" i="13"/>
  <c r="BD112" i="13"/>
  <c r="AG27" i="13"/>
  <c r="AK88" i="13"/>
  <c r="BD86" i="13"/>
  <c r="H89" i="13"/>
  <c r="L90" i="13"/>
  <c r="AC92" i="13"/>
  <c r="AV104" i="13"/>
  <c r="BD106" i="13"/>
  <c r="BB107" i="13"/>
  <c r="P111" i="13"/>
  <c r="P144" i="13"/>
  <c r="AA145" i="13"/>
  <c r="AC151" i="13"/>
  <c r="AC145" i="13"/>
  <c r="AI146" i="13"/>
  <c r="O35" i="13"/>
  <c r="L29" i="13"/>
  <c r="AV30" i="13"/>
  <c r="BH30" i="13" s="1"/>
  <c r="AX35" i="13"/>
  <c r="N53" i="13"/>
  <c r="AX85" i="13"/>
  <c r="AG87" i="13"/>
  <c r="AM87" i="13" s="1"/>
  <c r="F104" i="13"/>
  <c r="H106" i="13"/>
  <c r="AC109" i="13"/>
  <c r="N149" i="13"/>
  <c r="H167" i="13"/>
  <c r="AG171" i="13"/>
  <c r="AY35" i="13"/>
  <c r="BB47" i="13"/>
  <c r="N51" i="13"/>
  <c r="BD143" i="13"/>
  <c r="F146" i="13"/>
  <c r="AX150" i="13"/>
  <c r="P166" i="13"/>
  <c r="AE68" i="13"/>
  <c r="AF68" i="13" s="1"/>
  <c r="J72" i="13"/>
  <c r="L72" i="13" s="1"/>
  <c r="N37" i="13"/>
  <c r="O33" i="13"/>
  <c r="L28" i="13"/>
  <c r="AJ35" i="13"/>
  <c r="BA32" i="13"/>
  <c r="BB55" i="13"/>
  <c r="BB88" i="13"/>
  <c r="BH88" i="13" s="1"/>
  <c r="AX89" i="13"/>
  <c r="AG103" i="13"/>
  <c r="AD104" i="13"/>
  <c r="AA107" i="13"/>
  <c r="H108" i="13"/>
  <c r="AX112" i="13"/>
  <c r="BD151" i="13"/>
  <c r="P168" i="13"/>
  <c r="AI169" i="13"/>
  <c r="AY31" i="13"/>
  <c r="M37" i="13"/>
  <c r="N33" i="13"/>
  <c r="BD88" i="13"/>
  <c r="AI103" i="13"/>
  <c r="AC107" i="13"/>
  <c r="P146" i="13"/>
  <c r="O37" i="13"/>
  <c r="BC37" i="13"/>
  <c r="L37" i="13"/>
  <c r="M33" i="13"/>
  <c r="BF112" i="13"/>
  <c r="BF151" i="13"/>
  <c r="AI87" i="13"/>
  <c r="L33" i="13"/>
  <c r="AE133" i="13"/>
  <c r="AF133" i="13" s="1"/>
  <c r="AT69" i="13"/>
  <c r="AV69" i="13" s="1"/>
  <c r="AI91" i="13"/>
  <c r="I105" i="13"/>
  <c r="BB106" i="13"/>
  <c r="E108" i="13"/>
  <c r="N114" i="13"/>
  <c r="AG148" i="13"/>
  <c r="AM148" i="13" s="1"/>
  <c r="BB170" i="13"/>
  <c r="AI171" i="13"/>
  <c r="BD29" i="13"/>
  <c r="AC57" i="13"/>
  <c r="AG85" i="13"/>
  <c r="AM85" i="13" s="1"/>
  <c r="N86" i="13"/>
  <c r="AX87" i="13"/>
  <c r="BB90" i="13"/>
  <c r="BH90" i="13" s="1"/>
  <c r="E104" i="13"/>
  <c r="AU104" i="13"/>
  <c r="BC106" i="13"/>
  <c r="AG107" i="13"/>
  <c r="AM107" i="13" s="1"/>
  <c r="F108" i="13"/>
  <c r="N110" i="13"/>
  <c r="T110" i="13" s="1"/>
  <c r="AV112" i="13"/>
  <c r="AH113" i="13"/>
  <c r="AV144" i="13"/>
  <c r="AI148" i="13"/>
  <c r="AI152" i="13"/>
  <c r="BD170" i="13"/>
  <c r="AX144" i="13"/>
  <c r="AJ36" i="13"/>
  <c r="Z37" i="13"/>
  <c r="AF37" i="13"/>
  <c r="AC32" i="13"/>
  <c r="AV47" i="13"/>
  <c r="AI85" i="13"/>
  <c r="AG35" i="13"/>
  <c r="AB38" i="13"/>
  <c r="BD30" i="13"/>
  <c r="BB53" i="13"/>
  <c r="AI56" i="13"/>
  <c r="AE75" i="13"/>
  <c r="AG75" i="13" s="1"/>
  <c r="BD84" i="13"/>
  <c r="AC86" i="13"/>
  <c r="AG89" i="13"/>
  <c r="N90" i="13"/>
  <c r="H93" i="13"/>
  <c r="P110" i="13"/>
  <c r="H104" i="13"/>
  <c r="AX104" i="13"/>
  <c r="AD106" i="13"/>
  <c r="AI107" i="13"/>
  <c r="BB109" i="13"/>
  <c r="AA111" i="13"/>
  <c r="E112" i="13"/>
  <c r="L141" i="13"/>
  <c r="BD147" i="13"/>
  <c r="AX148" i="13"/>
  <c r="BB151" i="13"/>
  <c r="L168" i="13"/>
  <c r="H171" i="13"/>
  <c r="AY27" i="13"/>
  <c r="BF87" i="13"/>
  <c r="AI89" i="13"/>
  <c r="AC111" i="13"/>
  <c r="N168" i="13"/>
  <c r="AU37" i="13"/>
  <c r="AI48" i="13"/>
  <c r="O32" i="13"/>
  <c r="AK31" i="13"/>
  <c r="AH35" i="13"/>
  <c r="BE30" i="13"/>
  <c r="BF29" i="13"/>
  <c r="P54" i="13"/>
  <c r="BD53" i="13"/>
  <c r="AE76" i="13"/>
  <c r="AI76" i="13" s="1"/>
  <c r="O29" i="13"/>
  <c r="AI31" i="13"/>
  <c r="AI35" i="13"/>
  <c r="AB34" i="13"/>
  <c r="L47" i="13"/>
  <c r="BD47" i="13"/>
  <c r="BJ47" i="13" s="1"/>
  <c r="BD49" i="13"/>
  <c r="P51" i="13"/>
  <c r="H52" i="13"/>
  <c r="BD55" i="13"/>
  <c r="BF86" i="13"/>
  <c r="L88" i="13"/>
  <c r="R88" i="13" s="1"/>
  <c r="AC90" i="13"/>
  <c r="BC104" i="13"/>
  <c r="BI104" i="13" s="1"/>
  <c r="E110" i="13"/>
  <c r="F114" i="13"/>
  <c r="N144" i="13"/>
  <c r="N88" i="13"/>
  <c r="BD104" i="13"/>
  <c r="BJ104" i="13" s="1"/>
  <c r="F110" i="13"/>
  <c r="H114" i="13"/>
  <c r="G43" i="11" a="1"/>
  <c r="G43" i="11" s="1"/>
  <c r="O104" i="13"/>
  <c r="N104" i="13"/>
  <c r="M104" i="13"/>
  <c r="S104" i="13" s="1"/>
  <c r="O106" i="13"/>
  <c r="N106" i="13"/>
  <c r="M106" i="13"/>
  <c r="S106" i="13" s="1"/>
  <c r="L106" i="13"/>
  <c r="AJ109" i="13"/>
  <c r="AI109" i="13"/>
  <c r="AH109" i="13"/>
  <c r="AN109" i="13" s="1"/>
  <c r="AW142" i="13"/>
  <c r="AX142" i="13"/>
  <c r="BJ142" i="13" s="1"/>
  <c r="AV142" i="13"/>
  <c r="N36" i="13"/>
  <c r="L36" i="13"/>
  <c r="M30" i="13"/>
  <c r="N28" i="13"/>
  <c r="AG31" i="13"/>
  <c r="AM31" i="13" s="1"/>
  <c r="AC108" i="13"/>
  <c r="AD108" i="13"/>
  <c r="AW110" i="13"/>
  <c r="AX110" i="13"/>
  <c r="AV110" i="13"/>
  <c r="AU110" i="13"/>
  <c r="BE114" i="13"/>
  <c r="BD114" i="13"/>
  <c r="BC114" i="13"/>
  <c r="AB143" i="13"/>
  <c r="AC143" i="13"/>
  <c r="AO143" i="13" s="1"/>
  <c r="AA143" i="13"/>
  <c r="K145" i="13"/>
  <c r="N145" i="13"/>
  <c r="L145" i="13"/>
  <c r="G150" i="13"/>
  <c r="H150" i="13"/>
  <c r="K151" i="13"/>
  <c r="N151" i="13"/>
  <c r="L151" i="13"/>
  <c r="R151" i="13" s="1"/>
  <c r="G161" i="13"/>
  <c r="F161" i="13"/>
  <c r="H161" i="13"/>
  <c r="AB162" i="13"/>
  <c r="AA162" i="13"/>
  <c r="AC162" i="13"/>
  <c r="AW163" i="13"/>
  <c r="AV163" i="13"/>
  <c r="AX163" i="13"/>
  <c r="G165" i="13"/>
  <c r="F165" i="13"/>
  <c r="D127" i="13"/>
  <c r="I127" i="13" s="1"/>
  <c r="H165" i="13"/>
  <c r="AB166" i="13"/>
  <c r="AC166" i="13"/>
  <c r="AF167" i="13"/>
  <c r="AE129" i="13"/>
  <c r="AH129" i="13" s="1"/>
  <c r="AI167" i="13"/>
  <c r="AG167" i="13"/>
  <c r="BE36" i="13"/>
  <c r="BA36" i="13"/>
  <c r="K36" i="13"/>
  <c r="L34" i="13"/>
  <c r="N34" i="13"/>
  <c r="M28" i="13"/>
  <c r="AA30" i="13"/>
  <c r="AB30" i="13"/>
  <c r="BE28" i="13"/>
  <c r="BA28" i="13"/>
  <c r="Y58" i="13"/>
  <c r="Y59" i="13" s="1"/>
  <c r="AY50" i="13"/>
  <c r="AX50" i="13"/>
  <c r="AJ54" i="13"/>
  <c r="AG54" i="13"/>
  <c r="O57" i="13"/>
  <c r="L57" i="13"/>
  <c r="AF93" i="13"/>
  <c r="AI93" i="13"/>
  <c r="AK109" i="13"/>
  <c r="AB103" i="13"/>
  <c r="AC103" i="13"/>
  <c r="AA103" i="13"/>
  <c r="Y115" i="13"/>
  <c r="Y116" i="13" s="1"/>
  <c r="Z103" i="13"/>
  <c r="AF108" i="13"/>
  <c r="AK108" i="13"/>
  <c r="AB31" i="13"/>
  <c r="AD31" i="13"/>
  <c r="AP31" i="13" s="1"/>
  <c r="AY32" i="13"/>
  <c r="BK32" i="13" s="1"/>
  <c r="AX32" i="13"/>
  <c r="BE51" i="13"/>
  <c r="BD51" i="13"/>
  <c r="BB51" i="13"/>
  <c r="AB113" i="13"/>
  <c r="AC113" i="13"/>
  <c r="AA113" i="13"/>
  <c r="AK113" i="13"/>
  <c r="Z113" i="13"/>
  <c r="AF144" i="13"/>
  <c r="AI144" i="13"/>
  <c r="AG144" i="13"/>
  <c r="AM144" i="13" s="1"/>
  <c r="AB147" i="13"/>
  <c r="AA147" i="13"/>
  <c r="AC147" i="13"/>
  <c r="AC35" i="13"/>
  <c r="AD35" i="13"/>
  <c r="AJ46" i="13"/>
  <c r="AG46" i="13"/>
  <c r="AI28" i="13"/>
  <c r="AX28" i="13"/>
  <c r="I50" i="13"/>
  <c r="H50" i="13"/>
  <c r="AJ105" i="13"/>
  <c r="AG105" i="13"/>
  <c r="AJ151" i="13"/>
  <c r="AE132" i="13"/>
  <c r="AH132" i="13" s="1"/>
  <c r="K35" i="13"/>
  <c r="AJ28" i="13"/>
  <c r="AI32" i="13"/>
  <c r="AO32" i="13" s="1"/>
  <c r="AA27" i="13"/>
  <c r="AC31" i="13"/>
  <c r="BE33" i="13"/>
  <c r="BB33" i="13"/>
  <c r="AU34" i="13"/>
  <c r="AW34" i="13"/>
  <c r="AV38" i="13"/>
  <c r="BH38" i="13" s="1"/>
  <c r="AW38" i="13"/>
  <c r="F51" i="13"/>
  <c r="AX54" i="13"/>
  <c r="AW91" i="13"/>
  <c r="AX91" i="13"/>
  <c r="BA92" i="13"/>
  <c r="BD92" i="13"/>
  <c r="BB92" i="13"/>
  <c r="BA94" i="13"/>
  <c r="BB94" i="13"/>
  <c r="AX95" i="13"/>
  <c r="L104" i="13"/>
  <c r="AH105" i="13"/>
  <c r="AN105" i="13" s="1"/>
  <c r="BE108" i="13"/>
  <c r="BC108" i="13"/>
  <c r="BI108" i="13" s="1"/>
  <c r="K111" i="13"/>
  <c r="L111" i="13"/>
  <c r="AB160" i="13"/>
  <c r="AA160" i="13"/>
  <c r="AC160" i="13"/>
  <c r="AW161" i="13"/>
  <c r="AV161" i="13"/>
  <c r="AX161" i="13"/>
  <c r="G163" i="13"/>
  <c r="F163" i="13"/>
  <c r="H163" i="13"/>
  <c r="AB164" i="13"/>
  <c r="AA164" i="13"/>
  <c r="AC164" i="13"/>
  <c r="AW165" i="13"/>
  <c r="AV165" i="13"/>
  <c r="AX165" i="13"/>
  <c r="AJ32" i="13"/>
  <c r="AC27" i="13"/>
  <c r="AO27" i="13" s="1"/>
  <c r="AD49" i="13"/>
  <c r="AC49" i="13"/>
  <c r="BE91" i="13"/>
  <c r="BF91" i="13"/>
  <c r="AT115" i="13"/>
  <c r="AY103" i="13"/>
  <c r="AI105" i="13"/>
  <c r="BB141" i="13"/>
  <c r="BH141" i="13" s="1"/>
  <c r="BD141" i="13"/>
  <c r="O36" i="13"/>
  <c r="O34" i="13"/>
  <c r="L31" i="13"/>
  <c r="O31" i="13"/>
  <c r="AF27" i="13"/>
  <c r="AJ27" i="13"/>
  <c r="AK30" i="13"/>
  <c r="AI36" i="13"/>
  <c r="AD27" i="13"/>
  <c r="BD33" i="13"/>
  <c r="L53" i="13"/>
  <c r="I54" i="13"/>
  <c r="H54" i="13"/>
  <c r="AY56" i="13"/>
  <c r="AX56" i="13"/>
  <c r="BE57" i="13"/>
  <c r="BD57" i="13"/>
  <c r="J68" i="13"/>
  <c r="K68" i="13" s="1"/>
  <c r="G95" i="13"/>
  <c r="H95" i="13"/>
  <c r="P104" i="13"/>
  <c r="I107" i="13"/>
  <c r="H109" i="13"/>
  <c r="I109" i="13"/>
  <c r="BA113" i="13"/>
  <c r="BF113" i="13"/>
  <c r="BB113" i="13"/>
  <c r="G142" i="13"/>
  <c r="H142" i="13"/>
  <c r="T142" i="13" s="1"/>
  <c r="F142" i="13"/>
  <c r="AW146" i="13"/>
  <c r="AV146" i="13"/>
  <c r="AX146" i="13"/>
  <c r="K170" i="13"/>
  <c r="L170" i="13"/>
  <c r="N170" i="13"/>
  <c r="M34" i="13"/>
  <c r="O30" i="13"/>
  <c r="O28" i="13"/>
  <c r="AF31" i="13"/>
  <c r="AH31" i="13"/>
  <c r="AD33" i="13"/>
  <c r="AP33" i="13" s="1"/>
  <c r="Z33" i="13"/>
  <c r="BA34" i="13"/>
  <c r="BE34" i="13"/>
  <c r="AW27" i="13"/>
  <c r="AX27" i="13"/>
  <c r="AW31" i="13"/>
  <c r="AV31" i="13"/>
  <c r="AY48" i="13"/>
  <c r="AX48" i="13"/>
  <c r="AD51" i="13"/>
  <c r="AC51" i="13"/>
  <c r="AJ52" i="13"/>
  <c r="AI52" i="13"/>
  <c r="AT76" i="13"/>
  <c r="H103" i="13"/>
  <c r="I103" i="13"/>
  <c r="AW106" i="13"/>
  <c r="AX106" i="13"/>
  <c r="BJ106" i="13" s="1"/>
  <c r="AV106" i="13"/>
  <c r="BF106" i="13"/>
  <c r="O112" i="13"/>
  <c r="N112" i="13"/>
  <c r="M112" i="13"/>
  <c r="G148" i="13"/>
  <c r="F148" i="13"/>
  <c r="H148" i="13"/>
  <c r="AB170" i="13"/>
  <c r="AC170" i="13"/>
  <c r="H112" i="13"/>
  <c r="AU112" i="13"/>
  <c r="L113" i="13"/>
  <c r="M114" i="13"/>
  <c r="S114" i="13" s="1"/>
  <c r="AX114" i="13"/>
  <c r="AA141" i="13"/>
  <c r="AV148" i="13"/>
  <c r="AC149" i="13"/>
  <c r="AG152" i="13"/>
  <c r="AG169" i="13"/>
  <c r="AX171" i="13"/>
  <c r="AZ74" i="13"/>
  <c r="BB74" i="13" s="1"/>
  <c r="AK92" i="13"/>
  <c r="AV86" i="13"/>
  <c r="L92" i="13"/>
  <c r="AC94" i="13"/>
  <c r="Z105" i="13"/>
  <c r="AY105" i="13"/>
  <c r="AU108" i="13"/>
  <c r="F144" i="13"/>
  <c r="BB145" i="13"/>
  <c r="BH145" i="13" s="1"/>
  <c r="AG150" i="13"/>
  <c r="AM150" i="13" s="1"/>
  <c r="AX152" i="13"/>
  <c r="BB166" i="13"/>
  <c r="AX169" i="13"/>
  <c r="AC28" i="13"/>
  <c r="BE38" i="13"/>
  <c r="AG48" i="13"/>
  <c r="AM48" i="13" s="1"/>
  <c r="L49" i="13"/>
  <c r="R49" i="13" s="1"/>
  <c r="BB49" i="13"/>
  <c r="BH49" i="13" s="1"/>
  <c r="AG50" i="13"/>
  <c r="AM50" i="13" s="1"/>
  <c r="L51" i="13"/>
  <c r="AC53" i="13"/>
  <c r="AG56" i="13"/>
  <c r="AG91" i="13"/>
  <c r="N92" i="13"/>
  <c r="AX93" i="13"/>
  <c r="AK103" i="13"/>
  <c r="BB104" i="13"/>
  <c r="AA105" i="13"/>
  <c r="Z107" i="13"/>
  <c r="AY107" i="13"/>
  <c r="M108" i="13"/>
  <c r="AV108" i="13"/>
  <c r="L109" i="13"/>
  <c r="M110" i="13"/>
  <c r="S110" i="13" s="1"/>
  <c r="Z111" i="13"/>
  <c r="BB111" i="13"/>
  <c r="BC112" i="13"/>
  <c r="E114" i="13"/>
  <c r="AG114" i="13"/>
  <c r="H144" i="13"/>
  <c r="BD145" i="13"/>
  <c r="AG146" i="13"/>
  <c r="AM146" i="13" s="1"/>
  <c r="L147" i="13"/>
  <c r="R147" i="13" s="1"/>
  <c r="BB147" i="13"/>
  <c r="BB149" i="13"/>
  <c r="BH149" i="13" s="1"/>
  <c r="AI150" i="13"/>
  <c r="H152" i="13"/>
  <c r="L160" i="13"/>
  <c r="BB160" i="13"/>
  <c r="BH160" i="13" s="1"/>
  <c r="AG161" i="13"/>
  <c r="L162" i="13"/>
  <c r="BB162" i="13"/>
  <c r="AG163" i="13"/>
  <c r="L164" i="13"/>
  <c r="BB164" i="13"/>
  <c r="AG165" i="13"/>
  <c r="L166" i="13"/>
  <c r="BD166" i="13"/>
  <c r="AA168" i="13"/>
  <c r="H169" i="13"/>
  <c r="AC105" i="13"/>
  <c r="AX108" i="13"/>
  <c r="BJ108" i="13" s="1"/>
  <c r="N147" i="13"/>
  <c r="BD149" i="13"/>
  <c r="AK161" i="13"/>
  <c r="N160" i="13"/>
  <c r="BD160" i="13"/>
  <c r="AI161" i="13"/>
  <c r="N162" i="13"/>
  <c r="BD162" i="13"/>
  <c r="AI163" i="13"/>
  <c r="N164" i="13"/>
  <c r="BD164" i="13"/>
  <c r="AI165" i="13"/>
  <c r="N166" i="13"/>
  <c r="AC168" i="13"/>
  <c r="N55" i="13"/>
  <c r="AZ76" i="13"/>
  <c r="AI95" i="13"/>
  <c r="BF104" i="13"/>
  <c r="AH103" i="13"/>
  <c r="F106" i="13"/>
  <c r="R106" i="13" s="1"/>
  <c r="AA109" i="13"/>
  <c r="BD110" i="13"/>
  <c r="F112" i="13"/>
  <c r="AI113" i="13"/>
  <c r="AV114" i="13"/>
  <c r="AK146" i="13"/>
  <c r="H146" i="13"/>
  <c r="G48" i="11" a="1"/>
  <c r="G48" i="11" s="1"/>
  <c r="D55" i="11"/>
  <c r="K60" i="11"/>
  <c r="C60" i="11"/>
  <c r="D59" i="11"/>
  <c r="E58" i="11"/>
  <c r="F57" i="11"/>
  <c r="F61" i="11" s="1"/>
  <c r="G56" i="11"/>
  <c r="B55" i="11"/>
  <c r="E55" i="11"/>
  <c r="J60" i="11"/>
  <c r="K59" i="11"/>
  <c r="C59" i="11"/>
  <c r="D58" i="11"/>
  <c r="E57" i="11"/>
  <c r="F56" i="11"/>
  <c r="B56" i="11"/>
  <c r="F55" i="11"/>
  <c r="I60" i="11"/>
  <c r="J59" i="11"/>
  <c r="K58" i="11"/>
  <c r="C58" i="11"/>
  <c r="D57" i="11"/>
  <c r="E56" i="11"/>
  <c r="G45" i="11" a="1"/>
  <c r="G45" i="11" s="1"/>
  <c r="B57" i="11"/>
  <c r="G55" i="11"/>
  <c r="H60" i="11"/>
  <c r="I59" i="11"/>
  <c r="J58" i="11"/>
  <c r="K57" i="11"/>
  <c r="C57" i="11"/>
  <c r="D56" i="11"/>
  <c r="B58" i="11"/>
  <c r="H55" i="11"/>
  <c r="G60" i="11"/>
  <c r="H59" i="11"/>
  <c r="I58" i="11"/>
  <c r="J57" i="11"/>
  <c r="K56" i="11"/>
  <c r="C56" i="11"/>
  <c r="B59" i="11"/>
  <c r="I55" i="11"/>
  <c r="F60" i="11"/>
  <c r="G59" i="11"/>
  <c r="H58" i="11"/>
  <c r="I57" i="11"/>
  <c r="J56" i="11"/>
  <c r="B60" i="11"/>
  <c r="J55" i="11"/>
  <c r="E60" i="11"/>
  <c r="F59" i="11"/>
  <c r="G58" i="11"/>
  <c r="G61" i="11" s="1"/>
  <c r="H57" i="11"/>
  <c r="I56" i="11"/>
  <c r="C55" i="11"/>
  <c r="N57" i="13"/>
  <c r="J39" i="13"/>
  <c r="O38" i="13"/>
  <c r="N38" i="13"/>
  <c r="M38" i="13"/>
  <c r="K38" i="13"/>
  <c r="AT122" i="13"/>
  <c r="AU122" i="13" s="1"/>
  <c r="Y128" i="13"/>
  <c r="AB128" i="13" s="1"/>
  <c r="AK160" i="13"/>
  <c r="P165" i="13"/>
  <c r="AK168" i="13"/>
  <c r="E160" i="13"/>
  <c r="M160" i="13"/>
  <c r="AD160" i="13"/>
  <c r="AU160" i="13"/>
  <c r="BG160" i="13" s="1"/>
  <c r="BC160" i="13"/>
  <c r="I161" i="13"/>
  <c r="Z161" i="13"/>
  <c r="AL161" i="13" s="1"/>
  <c r="AH161" i="13"/>
  <c r="AY161" i="13"/>
  <c r="E162" i="13"/>
  <c r="Q162" i="13" s="1"/>
  <c r="M162" i="13"/>
  <c r="AD162" i="13"/>
  <c r="AP162" i="13" s="1"/>
  <c r="AU162" i="13"/>
  <c r="BG162" i="13" s="1"/>
  <c r="BC162" i="13"/>
  <c r="I163" i="13"/>
  <c r="Z163" i="13"/>
  <c r="AL163" i="13" s="1"/>
  <c r="AH163" i="13"/>
  <c r="AY163" i="13"/>
  <c r="E164" i="13"/>
  <c r="M164" i="13"/>
  <c r="AD164" i="13"/>
  <c r="AU164" i="13"/>
  <c r="BG164" i="13" s="1"/>
  <c r="BC164" i="13"/>
  <c r="I165" i="13"/>
  <c r="U165" i="13" s="1"/>
  <c r="Z165" i="13"/>
  <c r="AL165" i="13" s="1"/>
  <c r="AH165" i="13"/>
  <c r="AY165" i="13"/>
  <c r="E166" i="13"/>
  <c r="Q166" i="13" s="1"/>
  <c r="M166" i="13"/>
  <c r="AD166" i="13"/>
  <c r="AP166" i="13" s="1"/>
  <c r="AU166" i="13"/>
  <c r="BG166" i="13" s="1"/>
  <c r="BC166" i="13"/>
  <c r="I167" i="13"/>
  <c r="Z167" i="13"/>
  <c r="AH167" i="13"/>
  <c r="AY167" i="13"/>
  <c r="BK167" i="13" s="1"/>
  <c r="E168" i="13"/>
  <c r="Q168" i="13" s="1"/>
  <c r="M168" i="13"/>
  <c r="AD168" i="13"/>
  <c r="AP168" i="13" s="1"/>
  <c r="AU168" i="13"/>
  <c r="BC168" i="13"/>
  <c r="I169" i="13"/>
  <c r="Z169" i="13"/>
  <c r="AL169" i="13" s="1"/>
  <c r="AH169" i="13"/>
  <c r="AY169" i="13"/>
  <c r="E170" i="13"/>
  <c r="M170" i="13"/>
  <c r="AD170" i="13"/>
  <c r="AP170" i="13" s="1"/>
  <c r="AU170" i="13"/>
  <c r="BG170" i="13" s="1"/>
  <c r="BC170" i="13"/>
  <c r="I171" i="13"/>
  <c r="U171" i="13" s="1"/>
  <c r="Z171" i="13"/>
  <c r="AL171" i="13" s="1"/>
  <c r="AH171" i="13"/>
  <c r="AY171" i="13"/>
  <c r="BK171" i="13" s="1"/>
  <c r="F164" i="13"/>
  <c r="AV166" i="13"/>
  <c r="AV168" i="13"/>
  <c r="F170" i="13"/>
  <c r="AV170" i="13"/>
  <c r="AA171" i="13"/>
  <c r="D125" i="13"/>
  <c r="E125" i="13" s="1"/>
  <c r="Y130" i="13"/>
  <c r="AA130" i="13" s="1"/>
  <c r="F133" i="13"/>
  <c r="G160" i="13"/>
  <c r="O160" i="13"/>
  <c r="AF160" i="13"/>
  <c r="AW160" i="13"/>
  <c r="BE160" i="13"/>
  <c r="K161" i="13"/>
  <c r="AB161" i="13"/>
  <c r="AJ161" i="13"/>
  <c r="BA161" i="13"/>
  <c r="G162" i="13"/>
  <c r="O162" i="13"/>
  <c r="AF162" i="13"/>
  <c r="AW162" i="13"/>
  <c r="BE162" i="13"/>
  <c r="BK162" i="13" s="1"/>
  <c r="K163" i="13"/>
  <c r="AB163" i="13"/>
  <c r="AJ163" i="13"/>
  <c r="AP163" i="13" s="1"/>
  <c r="BA163" i="13"/>
  <c r="G164" i="13"/>
  <c r="O164" i="13"/>
  <c r="AF164" i="13"/>
  <c r="AW164" i="13"/>
  <c r="BE164" i="13"/>
  <c r="BK164" i="13" s="1"/>
  <c r="K165" i="13"/>
  <c r="AB165" i="13"/>
  <c r="AJ165" i="13"/>
  <c r="AP165" i="13" s="1"/>
  <c r="BA165" i="13"/>
  <c r="G166" i="13"/>
  <c r="O166" i="13"/>
  <c r="U166" i="13" s="1"/>
  <c r="AF166" i="13"/>
  <c r="AW166" i="13"/>
  <c r="BE166" i="13"/>
  <c r="K167" i="13"/>
  <c r="AB167" i="13"/>
  <c r="AJ167" i="13"/>
  <c r="AP167" i="13" s="1"/>
  <c r="BA167" i="13"/>
  <c r="G168" i="13"/>
  <c r="O168" i="13"/>
  <c r="U168" i="13" s="1"/>
  <c r="AF168" i="13"/>
  <c r="AW168" i="13"/>
  <c r="BE168" i="13"/>
  <c r="BK168" i="13" s="1"/>
  <c r="K169" i="13"/>
  <c r="AB169" i="13"/>
  <c r="AJ169" i="13"/>
  <c r="BA169" i="13"/>
  <c r="G170" i="13"/>
  <c r="O170" i="13"/>
  <c r="AF170" i="13"/>
  <c r="AW170" i="13"/>
  <c r="BE170" i="13"/>
  <c r="BK170" i="13" s="1"/>
  <c r="K171" i="13"/>
  <c r="AB171" i="13"/>
  <c r="AJ171" i="13"/>
  <c r="BA171" i="13"/>
  <c r="AT172" i="13"/>
  <c r="AT173" i="13" s="1"/>
  <c r="F162" i="13"/>
  <c r="AA163" i="13"/>
  <c r="AV164" i="13"/>
  <c r="F166" i="13"/>
  <c r="AA169" i="13"/>
  <c r="AM169" i="13" s="1"/>
  <c r="AK165" i="13"/>
  <c r="H160" i="13"/>
  <c r="L161" i="13"/>
  <c r="AC161" i="13"/>
  <c r="AG162" i="13"/>
  <c r="AX162" i="13"/>
  <c r="BB163" i="13"/>
  <c r="H164" i="13"/>
  <c r="L165" i="13"/>
  <c r="AC165" i="13"/>
  <c r="BB165" i="13"/>
  <c r="H166" i="13"/>
  <c r="T166" i="13" s="1"/>
  <c r="L167" i="13"/>
  <c r="AC167" i="13"/>
  <c r="BB167" i="13"/>
  <c r="AG168" i="13"/>
  <c r="AX168" i="13"/>
  <c r="L169" i="13"/>
  <c r="AC169" i="13"/>
  <c r="BB169" i="13"/>
  <c r="H170" i="13"/>
  <c r="AG170" i="13"/>
  <c r="AX170" i="13"/>
  <c r="L171" i="13"/>
  <c r="AC171" i="13"/>
  <c r="AO171" i="13" s="1"/>
  <c r="BB171" i="13"/>
  <c r="F160" i="13"/>
  <c r="AV162" i="13"/>
  <c r="AA165" i="13"/>
  <c r="AA167" i="13"/>
  <c r="F168" i="13"/>
  <c r="AG160" i="13"/>
  <c r="AX160" i="13"/>
  <c r="BB161" i="13"/>
  <c r="H162" i="13"/>
  <c r="L163" i="13"/>
  <c r="AC163" i="13"/>
  <c r="AG164" i="13"/>
  <c r="AX164" i="13"/>
  <c r="AG166" i="13"/>
  <c r="AX166" i="13"/>
  <c r="H168" i="13"/>
  <c r="AZ126" i="13"/>
  <c r="BA126" i="13" s="1"/>
  <c r="D131" i="13"/>
  <c r="F131" i="13" s="1"/>
  <c r="BF160" i="13"/>
  <c r="AK163" i="13"/>
  <c r="BF165" i="13"/>
  <c r="BF168" i="13"/>
  <c r="AK170" i="13"/>
  <c r="Z160" i="13"/>
  <c r="AH160" i="13"/>
  <c r="AY160" i="13"/>
  <c r="E161" i="13"/>
  <c r="M161" i="13"/>
  <c r="AD161" i="13"/>
  <c r="AU161" i="13"/>
  <c r="BC161" i="13"/>
  <c r="BI161" i="13" s="1"/>
  <c r="Z162" i="13"/>
  <c r="AH162" i="13"/>
  <c r="E163" i="13"/>
  <c r="M163" i="13"/>
  <c r="AU163" i="13"/>
  <c r="BC163" i="13"/>
  <c r="Z164" i="13"/>
  <c r="AH164" i="13"/>
  <c r="E165" i="13"/>
  <c r="M165" i="13"/>
  <c r="AU165" i="13"/>
  <c r="BC165" i="13"/>
  <c r="Z166" i="13"/>
  <c r="AH166" i="13"/>
  <c r="E167" i="13"/>
  <c r="M167" i="13"/>
  <c r="AU167" i="13"/>
  <c r="BC167" i="13"/>
  <c r="BI167" i="13" s="1"/>
  <c r="Z168" i="13"/>
  <c r="AH168" i="13"/>
  <c r="E169" i="13"/>
  <c r="Q169" i="13" s="1"/>
  <c r="M169" i="13"/>
  <c r="AU169" i="13"/>
  <c r="BC169" i="13"/>
  <c r="BI169" i="13" s="1"/>
  <c r="Z170" i="13"/>
  <c r="AH170" i="13"/>
  <c r="E171" i="13"/>
  <c r="M171" i="13"/>
  <c r="S171" i="13" s="1"/>
  <c r="AU171" i="13"/>
  <c r="BC171" i="13"/>
  <c r="BI171" i="13" s="1"/>
  <c r="AI162" i="13"/>
  <c r="AI164" i="13"/>
  <c r="AO164" i="13" s="1"/>
  <c r="N165" i="13"/>
  <c r="BD165" i="13"/>
  <c r="AA166" i="13"/>
  <c r="F167" i="13"/>
  <c r="N167" i="13"/>
  <c r="T167" i="13" s="1"/>
  <c r="AV167" i="13"/>
  <c r="BD167" i="13"/>
  <c r="AI168" i="13"/>
  <c r="F169" i="13"/>
  <c r="N169" i="13"/>
  <c r="AV169" i="13"/>
  <c r="BD169" i="13"/>
  <c r="AA170" i="13"/>
  <c r="AI170" i="13"/>
  <c r="F171" i="13"/>
  <c r="N171" i="13"/>
  <c r="AV171" i="13"/>
  <c r="BD171" i="13"/>
  <c r="AI160" i="13"/>
  <c r="N161" i="13"/>
  <c r="BD161" i="13"/>
  <c r="N163" i="13"/>
  <c r="BD163" i="13"/>
  <c r="AI166" i="13"/>
  <c r="AE127" i="13"/>
  <c r="AJ127" i="13" s="1"/>
  <c r="J132" i="13"/>
  <c r="O132" i="13" s="1"/>
  <c r="J172" i="13"/>
  <c r="J173" i="13" s="1"/>
  <c r="P161" i="13"/>
  <c r="BF167" i="13"/>
  <c r="BF170" i="13"/>
  <c r="AE125" i="13"/>
  <c r="AJ125" i="13" s="1"/>
  <c r="D172" i="13"/>
  <c r="D173" i="13" s="1"/>
  <c r="BF171" i="13"/>
  <c r="BF163" i="13"/>
  <c r="P169" i="13"/>
  <c r="D124" i="13"/>
  <c r="F124" i="13" s="1"/>
  <c r="AK166" i="13"/>
  <c r="J123" i="13"/>
  <c r="O123" i="13" s="1"/>
  <c r="Y172" i="13"/>
  <c r="AZ172" i="13"/>
  <c r="BF161" i="13"/>
  <c r="P162" i="13"/>
  <c r="AK162" i="13"/>
  <c r="P164" i="13"/>
  <c r="BF166" i="13"/>
  <c r="AK169" i="13"/>
  <c r="AT123" i="13"/>
  <c r="AX123" i="13" s="1"/>
  <c r="AK164" i="13"/>
  <c r="P167" i="13"/>
  <c r="BF169" i="13"/>
  <c r="AE172" i="13"/>
  <c r="BF162" i="13"/>
  <c r="P160" i="13"/>
  <c r="P163" i="13"/>
  <c r="BF164" i="13"/>
  <c r="AK167" i="13"/>
  <c r="P170" i="13"/>
  <c r="AK171" i="13"/>
  <c r="AF142" i="13"/>
  <c r="AE123" i="13"/>
  <c r="AH123" i="13" s="1"/>
  <c r="AJ142" i="13"/>
  <c r="AH142" i="13"/>
  <c r="K133" i="13"/>
  <c r="N133" i="13"/>
  <c r="M133" i="13"/>
  <c r="S133" i="13" s="1"/>
  <c r="AG142" i="13"/>
  <c r="AM142" i="13" s="1"/>
  <c r="F143" i="13"/>
  <c r="R143" i="13" s="1"/>
  <c r="AY147" i="13"/>
  <c r="AT128" i="13"/>
  <c r="AY128" i="13" s="1"/>
  <c r="AX147" i="13"/>
  <c r="AW147" i="13"/>
  <c r="AU147" i="13"/>
  <c r="O148" i="13"/>
  <c r="N148" i="13"/>
  <c r="M148" i="13"/>
  <c r="L148" i="13"/>
  <c r="K148" i="13"/>
  <c r="I141" i="13"/>
  <c r="H141" i="13"/>
  <c r="G141" i="13"/>
  <c r="E141" i="13"/>
  <c r="AJ141" i="13"/>
  <c r="AH141" i="13"/>
  <c r="AG141" i="13"/>
  <c r="AF141" i="13"/>
  <c r="AI142" i="13"/>
  <c r="K143" i="13"/>
  <c r="J124" i="13"/>
  <c r="O124" i="13" s="1"/>
  <c r="O143" i="13"/>
  <c r="M143" i="13"/>
  <c r="AY143" i="13"/>
  <c r="AX143" i="13"/>
  <c r="AW143" i="13"/>
  <c r="AU143" i="13"/>
  <c r="O144" i="13"/>
  <c r="M144" i="13"/>
  <c r="S144" i="13" s="1"/>
  <c r="L144" i="13"/>
  <c r="K144" i="13"/>
  <c r="AV147" i="13"/>
  <c r="AD148" i="13"/>
  <c r="AC148" i="13"/>
  <c r="AB148" i="13"/>
  <c r="Z148" i="13"/>
  <c r="BE148" i="13"/>
  <c r="AZ129" i="13"/>
  <c r="BE129" i="13" s="1"/>
  <c r="BD148" i="13"/>
  <c r="BJ148" i="13" s="1"/>
  <c r="BC148" i="13"/>
  <c r="BI148" i="13" s="1"/>
  <c r="BB148" i="13"/>
  <c r="BA148" i="13"/>
  <c r="AJ149" i="13"/>
  <c r="AI149" i="13"/>
  <c r="AH149" i="13"/>
  <c r="AK149" i="13"/>
  <c r="AG149" i="13"/>
  <c r="AF149" i="13"/>
  <c r="AE130" i="13"/>
  <c r="AH130" i="13" s="1"/>
  <c r="O150" i="13"/>
  <c r="N150" i="13"/>
  <c r="M150" i="13"/>
  <c r="L150" i="13"/>
  <c r="K150" i="13"/>
  <c r="BE150" i="13"/>
  <c r="AZ131" i="13"/>
  <c r="BC131" i="13" s="1"/>
  <c r="BD150" i="13"/>
  <c r="BC150" i="13"/>
  <c r="BB150" i="13"/>
  <c r="BA150" i="13"/>
  <c r="I149" i="13"/>
  <c r="H149" i="13"/>
  <c r="P149" i="13"/>
  <c r="G149" i="13"/>
  <c r="E149" i="13"/>
  <c r="Q149" i="13" s="1"/>
  <c r="K141" i="13"/>
  <c r="O141" i="13"/>
  <c r="M141" i="13"/>
  <c r="AY141" i="13"/>
  <c r="AX141" i="13"/>
  <c r="AW141" i="13"/>
  <c r="AU141" i="13"/>
  <c r="O142" i="13"/>
  <c r="M142" i="13"/>
  <c r="L142" i="13"/>
  <c r="K142" i="13"/>
  <c r="N143" i="13"/>
  <c r="BA143" i="13"/>
  <c r="BF143" i="13"/>
  <c r="BE143" i="13"/>
  <c r="BC143" i="13"/>
  <c r="AZ124" i="13"/>
  <c r="BC124" i="13" s="1"/>
  <c r="AD144" i="13"/>
  <c r="AC144" i="13"/>
  <c r="AB144" i="13"/>
  <c r="Y125" i="13"/>
  <c r="AD125" i="13" s="1"/>
  <c r="Z144" i="13"/>
  <c r="BE144" i="13"/>
  <c r="BD144" i="13"/>
  <c r="BC144" i="13"/>
  <c r="BI144" i="13" s="1"/>
  <c r="BB144" i="13"/>
  <c r="BA144" i="13"/>
  <c r="F149" i="13"/>
  <c r="R149" i="13" s="1"/>
  <c r="AY149" i="13"/>
  <c r="AT130" i="13"/>
  <c r="AY130" i="13" s="1"/>
  <c r="AX149" i="13"/>
  <c r="AW149" i="13"/>
  <c r="AU149" i="13"/>
  <c r="I151" i="13"/>
  <c r="H151" i="13"/>
  <c r="G151" i="13"/>
  <c r="E151" i="13"/>
  <c r="D132" i="13"/>
  <c r="H132" i="13" s="1"/>
  <c r="I145" i="13"/>
  <c r="H145" i="13"/>
  <c r="G145" i="13"/>
  <c r="E145" i="13"/>
  <c r="D126" i="13"/>
  <c r="E126" i="13" s="1"/>
  <c r="AJ145" i="13"/>
  <c r="AI145" i="13"/>
  <c r="AH145" i="13"/>
  <c r="AG145" i="13"/>
  <c r="AF145" i="13"/>
  <c r="AD150" i="13"/>
  <c r="AC150" i="13"/>
  <c r="AB150" i="13"/>
  <c r="Z150" i="13"/>
  <c r="Y131" i="13"/>
  <c r="AB131" i="13" s="1"/>
  <c r="AJ131" i="13"/>
  <c r="BA141" i="13"/>
  <c r="AZ122" i="13"/>
  <c r="BD122" i="13" s="1"/>
  <c r="BE141" i="13"/>
  <c r="BC141" i="13"/>
  <c r="BF141" i="13"/>
  <c r="AD142" i="13"/>
  <c r="AC142" i="13"/>
  <c r="AB142" i="13"/>
  <c r="Z142" i="13"/>
  <c r="BE142" i="13"/>
  <c r="BC142" i="13"/>
  <c r="BB142" i="13"/>
  <c r="BF142" i="13"/>
  <c r="BA142" i="13"/>
  <c r="AZ123" i="13"/>
  <c r="BE123" i="13" s="1"/>
  <c r="F145" i="13"/>
  <c r="AY145" i="13"/>
  <c r="AX145" i="13"/>
  <c r="AW145" i="13"/>
  <c r="AU145" i="13"/>
  <c r="BG145" i="13" s="1"/>
  <c r="O146" i="13"/>
  <c r="N146" i="13"/>
  <c r="M146" i="13"/>
  <c r="S146" i="13" s="1"/>
  <c r="L146" i="13"/>
  <c r="K146" i="13"/>
  <c r="J127" i="13"/>
  <c r="O127" i="13" s="1"/>
  <c r="BF149" i="13"/>
  <c r="Y127" i="13"/>
  <c r="AC127" i="13" s="1"/>
  <c r="AD146" i="13"/>
  <c r="AC146" i="13"/>
  <c r="AB146" i="13"/>
  <c r="Z146" i="13"/>
  <c r="BE146" i="13"/>
  <c r="AZ127" i="13"/>
  <c r="BC127" i="13" s="1"/>
  <c r="BD146" i="13"/>
  <c r="BC146" i="13"/>
  <c r="BB146" i="13"/>
  <c r="BA146" i="13"/>
  <c r="BF146" i="13"/>
  <c r="I143" i="13"/>
  <c r="H143" i="13"/>
  <c r="G143" i="13"/>
  <c r="E143" i="13"/>
  <c r="AJ143" i="13"/>
  <c r="AH143" i="13"/>
  <c r="AE124" i="13"/>
  <c r="AG143" i="13"/>
  <c r="AF143" i="13"/>
  <c r="I147" i="13"/>
  <c r="H147" i="13"/>
  <c r="G147" i="13"/>
  <c r="E147" i="13"/>
  <c r="Q147" i="13" s="1"/>
  <c r="AJ147" i="13"/>
  <c r="AI147" i="13"/>
  <c r="AH147" i="13"/>
  <c r="AG147" i="13"/>
  <c r="AF147" i="13"/>
  <c r="J128" i="13"/>
  <c r="O128" i="13" s="1"/>
  <c r="D129" i="13"/>
  <c r="H129" i="13" s="1"/>
  <c r="J130" i="13"/>
  <c r="K130" i="13" s="1"/>
  <c r="I133" i="13"/>
  <c r="AZ133" i="13"/>
  <c r="BA133" i="13" s="1"/>
  <c r="AD141" i="13"/>
  <c r="I142" i="13"/>
  <c r="AY142" i="13"/>
  <c r="AD143" i="13"/>
  <c r="I144" i="13"/>
  <c r="AH144" i="13"/>
  <c r="AY144" i="13"/>
  <c r="M145" i="13"/>
  <c r="AD145" i="13"/>
  <c r="BC145" i="13"/>
  <c r="I146" i="13"/>
  <c r="AH146" i="13"/>
  <c r="AY146" i="13"/>
  <c r="M147" i="13"/>
  <c r="AD147" i="13"/>
  <c r="BC147" i="13"/>
  <c r="I148" i="13"/>
  <c r="AH148" i="13"/>
  <c r="AY148" i="13"/>
  <c r="M149" i="13"/>
  <c r="AD149" i="13"/>
  <c r="BC149" i="13"/>
  <c r="I150" i="13"/>
  <c r="AH150" i="13"/>
  <c r="AY150" i="13"/>
  <c r="M151" i="13"/>
  <c r="AD151" i="13"/>
  <c r="AU151" i="13"/>
  <c r="BC151" i="13"/>
  <c r="I152" i="13"/>
  <c r="U152" i="13" s="1"/>
  <c r="Z152" i="13"/>
  <c r="AL152" i="13" s="1"/>
  <c r="AH152" i="13"/>
  <c r="AY152" i="13"/>
  <c r="BK152" i="13" s="1"/>
  <c r="AV151" i="13"/>
  <c r="AA152" i="13"/>
  <c r="AM152" i="13" s="1"/>
  <c r="Y122" i="13"/>
  <c r="AA122" i="13" s="1"/>
  <c r="Y126" i="13"/>
  <c r="AT127" i="13"/>
  <c r="AV127" i="13" s="1"/>
  <c r="AJ144" i="13"/>
  <c r="O145" i="13"/>
  <c r="BE145" i="13"/>
  <c r="AJ146" i="13"/>
  <c r="O147" i="13"/>
  <c r="U147" i="13" s="1"/>
  <c r="BE147" i="13"/>
  <c r="AJ148" i="13"/>
  <c r="O149" i="13"/>
  <c r="BE149" i="13"/>
  <c r="AJ150" i="13"/>
  <c r="O151" i="13"/>
  <c r="AF151" i="13"/>
  <c r="AW151" i="13"/>
  <c r="BE151" i="13"/>
  <c r="BK151" i="13" s="1"/>
  <c r="K152" i="13"/>
  <c r="AB152" i="13"/>
  <c r="AJ152" i="13"/>
  <c r="AP152" i="13" s="1"/>
  <c r="BA152" i="13"/>
  <c r="AK144" i="13"/>
  <c r="AG151" i="13"/>
  <c r="AX151" i="13"/>
  <c r="BJ151" i="13" s="1"/>
  <c r="L152" i="13"/>
  <c r="AC152" i="13"/>
  <c r="BB152" i="13"/>
  <c r="AT132" i="13"/>
  <c r="BF132" i="13" s="1"/>
  <c r="AT131" i="13"/>
  <c r="AV131" i="13" s="1"/>
  <c r="Y133" i="13"/>
  <c r="AT125" i="13"/>
  <c r="AY125" i="13" s="1"/>
  <c r="AK151" i="13"/>
  <c r="Z141" i="13"/>
  <c r="E142" i="13"/>
  <c r="AU142" i="13"/>
  <c r="Z143" i="13"/>
  <c r="E144" i="13"/>
  <c r="AU144" i="13"/>
  <c r="Z145" i="13"/>
  <c r="E146" i="13"/>
  <c r="AU146" i="13"/>
  <c r="Z147" i="13"/>
  <c r="E148" i="13"/>
  <c r="AU148" i="13"/>
  <c r="Z149" i="13"/>
  <c r="E150" i="13"/>
  <c r="AU150" i="13"/>
  <c r="Z151" i="13"/>
  <c r="AH151" i="13"/>
  <c r="AN151" i="13" s="1"/>
  <c r="E152" i="13"/>
  <c r="M152" i="13"/>
  <c r="S152" i="13" s="1"/>
  <c r="AU152" i="13"/>
  <c r="BC152" i="13"/>
  <c r="BI152" i="13" s="1"/>
  <c r="AA149" i="13"/>
  <c r="F150" i="13"/>
  <c r="AV150" i="13"/>
  <c r="AA151" i="13"/>
  <c r="AI151" i="13"/>
  <c r="AO151" i="13" s="1"/>
  <c r="F152" i="13"/>
  <c r="N152" i="13"/>
  <c r="T152" i="13" s="1"/>
  <c r="AV152" i="13"/>
  <c r="BD152" i="13"/>
  <c r="AZ128" i="13"/>
  <c r="BA128" i="13" s="1"/>
  <c r="Y132" i="13"/>
  <c r="AB132" i="13" s="1"/>
  <c r="P147" i="13"/>
  <c r="P152" i="13"/>
  <c r="D123" i="13"/>
  <c r="P143" i="13"/>
  <c r="AE128" i="13"/>
  <c r="AH128" i="13" s="1"/>
  <c r="AK147" i="13"/>
  <c r="D153" i="13"/>
  <c r="D154" i="13" s="1"/>
  <c r="D122" i="13"/>
  <c r="F122" i="13" s="1"/>
  <c r="BD132" i="13"/>
  <c r="BE132" i="13"/>
  <c r="BA132" i="13"/>
  <c r="J153" i="13"/>
  <c r="P141" i="13"/>
  <c r="J122" i="13"/>
  <c r="M126" i="13"/>
  <c r="L126" i="13"/>
  <c r="AJ133" i="13"/>
  <c r="AE153" i="13"/>
  <c r="AE122" i="13"/>
  <c r="AG122" i="13" s="1"/>
  <c r="AK141" i="13"/>
  <c r="AZ125" i="13"/>
  <c r="BF144" i="13"/>
  <c r="Y123" i="13"/>
  <c r="AA123" i="13" s="1"/>
  <c r="AT126" i="13"/>
  <c r="AY126" i="13" s="1"/>
  <c r="J125" i="13"/>
  <c r="N125" i="13" s="1"/>
  <c r="AE126" i="13"/>
  <c r="AF126" i="13" s="1"/>
  <c r="H133" i="13"/>
  <c r="D130" i="13"/>
  <c r="I130" i="13" s="1"/>
  <c r="P150" i="13"/>
  <c r="BF152" i="13"/>
  <c r="AT124" i="13"/>
  <c r="AW124" i="13" s="1"/>
  <c r="L133" i="13"/>
  <c r="Y153" i="13"/>
  <c r="AZ153" i="13"/>
  <c r="P142" i="13"/>
  <c r="AK142" i="13"/>
  <c r="P145" i="13"/>
  <c r="BF147" i="13"/>
  <c r="AK150" i="13"/>
  <c r="P148" i="13"/>
  <c r="BF150" i="13"/>
  <c r="J129" i="13"/>
  <c r="M129" i="13" s="1"/>
  <c r="BH143" i="13"/>
  <c r="BF145" i="13"/>
  <c r="AK148" i="13"/>
  <c r="P151" i="13"/>
  <c r="AT153" i="13"/>
  <c r="AT154" i="13" s="1"/>
  <c r="J131" i="13"/>
  <c r="Y129" i="13"/>
  <c r="AB129" i="13" s="1"/>
  <c r="E133" i="13"/>
  <c r="P133" i="13"/>
  <c r="AK143" i="13"/>
  <c r="AK152" i="13"/>
  <c r="AG104" i="13"/>
  <c r="AG106" i="13"/>
  <c r="AZ66" i="13"/>
  <c r="AZ70" i="13"/>
  <c r="BA70" i="13" s="1"/>
  <c r="D75" i="13"/>
  <c r="H75" i="13" s="1"/>
  <c r="BF107" i="13"/>
  <c r="BF109" i="13"/>
  <c r="E103" i="13"/>
  <c r="M103" i="13"/>
  <c r="AD103" i="13"/>
  <c r="AU103" i="13"/>
  <c r="BC103" i="13"/>
  <c r="I104" i="13"/>
  <c r="Z104" i="13"/>
  <c r="AL104" i="13" s="1"/>
  <c r="AH104" i="13"/>
  <c r="AY104" i="13"/>
  <c r="BK104" i="13" s="1"/>
  <c r="E105" i="13"/>
  <c r="M105" i="13"/>
  <c r="AD105" i="13"/>
  <c r="AU105" i="13"/>
  <c r="BG105" i="13" s="1"/>
  <c r="BC105" i="13"/>
  <c r="I106" i="13"/>
  <c r="Z106" i="13"/>
  <c r="AL106" i="13" s="1"/>
  <c r="AH106" i="13"/>
  <c r="AY106" i="13"/>
  <c r="BK106" i="13" s="1"/>
  <c r="E107" i="13"/>
  <c r="Q107" i="13" s="1"/>
  <c r="M107" i="13"/>
  <c r="AD107" i="13"/>
  <c r="AU107" i="13"/>
  <c r="BG107" i="13" s="1"/>
  <c r="BC107" i="13"/>
  <c r="I108" i="13"/>
  <c r="Z108" i="13"/>
  <c r="AH108" i="13"/>
  <c r="AY108" i="13"/>
  <c r="E109" i="13"/>
  <c r="Q109" i="13" s="1"/>
  <c r="M109" i="13"/>
  <c r="AD109" i="13"/>
  <c r="AU109" i="13"/>
  <c r="BC109" i="13"/>
  <c r="I110" i="13"/>
  <c r="U110" i="13" s="1"/>
  <c r="Z110" i="13"/>
  <c r="AL110" i="13" s="1"/>
  <c r="AH110" i="13"/>
  <c r="AY110" i="13"/>
  <c r="BK110" i="13" s="1"/>
  <c r="E111" i="13"/>
  <c r="M111" i="13"/>
  <c r="AD111" i="13"/>
  <c r="AP111" i="13" s="1"/>
  <c r="AU111" i="13"/>
  <c r="BG111" i="13" s="1"/>
  <c r="BC111" i="13"/>
  <c r="I112" i="13"/>
  <c r="Z112" i="13"/>
  <c r="AH112" i="13"/>
  <c r="AY112" i="13"/>
  <c r="E113" i="13"/>
  <c r="Q113" i="13" s="1"/>
  <c r="M113" i="13"/>
  <c r="AD113" i="13"/>
  <c r="AP113" i="13" s="1"/>
  <c r="AU113" i="13"/>
  <c r="BC113" i="13"/>
  <c r="I114" i="13"/>
  <c r="U114" i="13" s="1"/>
  <c r="Z114" i="13"/>
  <c r="AL114" i="13" s="1"/>
  <c r="AH114" i="13"/>
  <c r="AY114" i="13"/>
  <c r="BB105" i="13"/>
  <c r="L107" i="13"/>
  <c r="AT71" i="13"/>
  <c r="AU71" i="13" s="1"/>
  <c r="D115" i="13"/>
  <c r="D116" i="13" s="1"/>
  <c r="AK106" i="13"/>
  <c r="F103" i="13"/>
  <c r="N103" i="13"/>
  <c r="AA104" i="13"/>
  <c r="AI104" i="13"/>
  <c r="F105" i="13"/>
  <c r="N105" i="13"/>
  <c r="AA106" i="13"/>
  <c r="AI106" i="13"/>
  <c r="AV107" i="13"/>
  <c r="BD107" i="13"/>
  <c r="BJ107" i="13" s="1"/>
  <c r="AA108" i="13"/>
  <c r="AM108" i="13" s="1"/>
  <c r="AI108" i="13"/>
  <c r="F109" i="13"/>
  <c r="N109" i="13"/>
  <c r="AA110" i="13"/>
  <c r="AI110" i="13"/>
  <c r="AV111" i="13"/>
  <c r="AA112" i="13"/>
  <c r="AI112" i="13"/>
  <c r="F113" i="13"/>
  <c r="N113" i="13"/>
  <c r="AV113" i="13"/>
  <c r="BD113" i="13"/>
  <c r="AA114" i="13"/>
  <c r="AI114" i="13"/>
  <c r="BB103" i="13"/>
  <c r="L105" i="13"/>
  <c r="AV103" i="13"/>
  <c r="BD103" i="13"/>
  <c r="AV105" i="13"/>
  <c r="BD105" i="13"/>
  <c r="BJ105" i="13" s="1"/>
  <c r="F107" i="13"/>
  <c r="N107" i="13"/>
  <c r="T107" i="13" s="1"/>
  <c r="AV109" i="13"/>
  <c r="BD109" i="13"/>
  <c r="F111" i="13"/>
  <c r="N111" i="13"/>
  <c r="BD111" i="13"/>
  <c r="D68" i="13"/>
  <c r="F68" i="13" s="1"/>
  <c r="D72" i="13"/>
  <c r="I72" i="13" s="1"/>
  <c r="D76" i="13"/>
  <c r="G76" i="13" s="1"/>
  <c r="D65" i="13"/>
  <c r="I65" i="13" s="1"/>
  <c r="J115" i="13"/>
  <c r="J116" i="13" s="1"/>
  <c r="P108" i="13"/>
  <c r="G103" i="13"/>
  <c r="O103" i="13"/>
  <c r="AF103" i="13"/>
  <c r="AW103" i="13"/>
  <c r="BE103" i="13"/>
  <c r="K104" i="13"/>
  <c r="AB104" i="13"/>
  <c r="AJ104" i="13"/>
  <c r="BA104" i="13"/>
  <c r="G105" i="13"/>
  <c r="O105" i="13"/>
  <c r="AF105" i="13"/>
  <c r="AW105" i="13"/>
  <c r="BE105" i="13"/>
  <c r="BK105" i="13" s="1"/>
  <c r="K106" i="13"/>
  <c r="AB106" i="13"/>
  <c r="AJ106" i="13"/>
  <c r="AP106" i="13" s="1"/>
  <c r="BA106" i="13"/>
  <c r="G107" i="13"/>
  <c r="O107" i="13"/>
  <c r="AF107" i="13"/>
  <c r="AW107" i="13"/>
  <c r="BE107" i="13"/>
  <c r="BK107" i="13" s="1"/>
  <c r="K108" i="13"/>
  <c r="AB108" i="13"/>
  <c r="AJ108" i="13"/>
  <c r="BA108" i="13"/>
  <c r="G109" i="13"/>
  <c r="O109" i="13"/>
  <c r="AF109" i="13"/>
  <c r="AW109" i="13"/>
  <c r="BE109" i="13"/>
  <c r="BK109" i="13" s="1"/>
  <c r="K110" i="13"/>
  <c r="AB110" i="13"/>
  <c r="AJ110" i="13"/>
  <c r="BA110" i="13"/>
  <c r="G111" i="13"/>
  <c r="O111" i="13"/>
  <c r="AF111" i="13"/>
  <c r="AW111" i="13"/>
  <c r="BE111" i="13"/>
  <c r="BK111" i="13" s="1"/>
  <c r="K112" i="13"/>
  <c r="AB112" i="13"/>
  <c r="AJ112" i="13"/>
  <c r="BA112" i="13"/>
  <c r="G113" i="13"/>
  <c r="O113" i="13"/>
  <c r="U113" i="13" s="1"/>
  <c r="AF113" i="13"/>
  <c r="AW113" i="13"/>
  <c r="BE113" i="13"/>
  <c r="K114" i="13"/>
  <c r="AB114" i="13"/>
  <c r="AJ114" i="13"/>
  <c r="AP114" i="13" s="1"/>
  <c r="BA114" i="13"/>
  <c r="AZ115" i="13"/>
  <c r="AZ116" i="13" s="1"/>
  <c r="L103" i="13"/>
  <c r="AX103" i="13"/>
  <c r="L108" i="13"/>
  <c r="BB108" i="13"/>
  <c r="AG109" i="13"/>
  <c r="AX109" i="13"/>
  <c r="L110" i="13"/>
  <c r="AC110" i="13"/>
  <c r="BB110" i="13"/>
  <c r="H111" i="13"/>
  <c r="AG111" i="13"/>
  <c r="AX111" i="13"/>
  <c r="L112" i="13"/>
  <c r="AC112" i="13"/>
  <c r="BB112" i="13"/>
  <c r="H113" i="13"/>
  <c r="AG113" i="13"/>
  <c r="AX113" i="13"/>
  <c r="L114" i="13"/>
  <c r="AC114" i="13"/>
  <c r="BB114" i="13"/>
  <c r="D70" i="13"/>
  <c r="F70" i="13" s="1"/>
  <c r="D74" i="13"/>
  <c r="E74" i="13" s="1"/>
  <c r="P107" i="13"/>
  <c r="AO104" i="13"/>
  <c r="J66" i="13"/>
  <c r="O66" i="13" s="1"/>
  <c r="AZ68" i="13"/>
  <c r="BE68" i="13" s="1"/>
  <c r="AK104" i="13"/>
  <c r="J69" i="13"/>
  <c r="M69" i="13" s="1"/>
  <c r="P103" i="13"/>
  <c r="AK105" i="13"/>
  <c r="BF114" i="13"/>
  <c r="P112" i="13"/>
  <c r="AE72" i="13"/>
  <c r="J67" i="13"/>
  <c r="N67" i="13" s="1"/>
  <c r="AT72" i="13"/>
  <c r="AY72" i="13" s="1"/>
  <c r="P105" i="13"/>
  <c r="BF108" i="13"/>
  <c r="AK110" i="13"/>
  <c r="AK112" i="13"/>
  <c r="P106" i="13"/>
  <c r="AE115" i="13"/>
  <c r="BF103" i="13"/>
  <c r="AK111" i="13"/>
  <c r="P113" i="13"/>
  <c r="AK107" i="13"/>
  <c r="P109" i="13"/>
  <c r="BF110" i="13"/>
  <c r="AK114" i="13"/>
  <c r="AJ84" i="13"/>
  <c r="AH84" i="13"/>
  <c r="AF84" i="13"/>
  <c r="H84" i="13"/>
  <c r="AG84" i="13"/>
  <c r="G85" i="13"/>
  <c r="E85" i="13"/>
  <c r="I85" i="13"/>
  <c r="F84" i="13"/>
  <c r="R84" i="13" s="1"/>
  <c r="K84" i="13"/>
  <c r="J65" i="13"/>
  <c r="O84" i="13"/>
  <c r="M84" i="13"/>
  <c r="AI84" i="13"/>
  <c r="F85" i="13"/>
  <c r="R85" i="13" s="1"/>
  <c r="AY94" i="13"/>
  <c r="AX94" i="13"/>
  <c r="BJ94" i="13" s="1"/>
  <c r="AW94" i="13"/>
  <c r="AV94" i="13"/>
  <c r="AU94" i="13"/>
  <c r="AT75" i="13"/>
  <c r="AU75" i="13" s="1"/>
  <c r="AY84" i="13"/>
  <c r="AW84" i="13"/>
  <c r="AU84" i="13"/>
  <c r="I94" i="13"/>
  <c r="H94" i="13"/>
  <c r="G94" i="13"/>
  <c r="F94" i="13"/>
  <c r="E94" i="13"/>
  <c r="Q94" i="13" s="1"/>
  <c r="N84" i="13"/>
  <c r="AV84" i="13"/>
  <c r="O85" i="13"/>
  <c r="M85" i="13"/>
  <c r="K85" i="13"/>
  <c r="P85" i="13"/>
  <c r="Y74" i="13"/>
  <c r="AA74" i="13" s="1"/>
  <c r="AD93" i="13"/>
  <c r="AC93" i="13"/>
  <c r="AB93" i="13"/>
  <c r="AA93" i="13"/>
  <c r="AM93" i="13" s="1"/>
  <c r="Z93" i="13"/>
  <c r="BB76" i="13"/>
  <c r="BE76" i="13"/>
  <c r="AB84" i="13"/>
  <c r="Z84" i="13"/>
  <c r="Y65" i="13"/>
  <c r="Z65" i="13" s="1"/>
  <c r="AD84" i="13"/>
  <c r="AX84" i="13"/>
  <c r="AY92" i="13"/>
  <c r="AX92" i="13"/>
  <c r="AW92" i="13"/>
  <c r="AV92" i="13"/>
  <c r="AU92" i="13"/>
  <c r="AT73" i="13"/>
  <c r="AX73" i="13" s="1"/>
  <c r="AK84" i="13"/>
  <c r="BD74" i="13"/>
  <c r="AA84" i="13"/>
  <c r="BA84" i="13"/>
  <c r="AZ65" i="13"/>
  <c r="BA65" i="13" s="1"/>
  <c r="BE84" i="13"/>
  <c r="BC84" i="13"/>
  <c r="BF84" i="13"/>
  <c r="N85" i="13"/>
  <c r="T85" i="13" s="1"/>
  <c r="BE85" i="13"/>
  <c r="BD85" i="13"/>
  <c r="BJ85" i="13" s="1"/>
  <c r="BC85" i="13"/>
  <c r="BI85" i="13" s="1"/>
  <c r="BB85" i="13"/>
  <c r="BA85" i="13"/>
  <c r="AJ86" i="13"/>
  <c r="AK86" i="13"/>
  <c r="AE67" i="13"/>
  <c r="AF67" i="13" s="1"/>
  <c r="AI86" i="13"/>
  <c r="AH86" i="13"/>
  <c r="AN86" i="13" s="1"/>
  <c r="AG86" i="13"/>
  <c r="AF86" i="13"/>
  <c r="O87" i="13"/>
  <c r="N87" i="13"/>
  <c r="M87" i="13"/>
  <c r="S87" i="13" s="1"/>
  <c r="L87" i="13"/>
  <c r="K87" i="13"/>
  <c r="BE87" i="13"/>
  <c r="BD87" i="13"/>
  <c r="BC87" i="13"/>
  <c r="BI87" i="13" s="1"/>
  <c r="BB87" i="13"/>
  <c r="BA87" i="13"/>
  <c r="AJ88" i="13"/>
  <c r="AI88" i="13"/>
  <c r="AH88" i="13"/>
  <c r="AN88" i="13" s="1"/>
  <c r="AG88" i="13"/>
  <c r="AF88" i="13"/>
  <c r="O89" i="13"/>
  <c r="N89" i="13"/>
  <c r="M89" i="13"/>
  <c r="S89" i="13" s="1"/>
  <c r="L89" i="13"/>
  <c r="K89" i="13"/>
  <c r="BE89" i="13"/>
  <c r="BD89" i="13"/>
  <c r="BJ89" i="13" s="1"/>
  <c r="BC89" i="13"/>
  <c r="BI89" i="13" s="1"/>
  <c r="BB89" i="13"/>
  <c r="BA89" i="13"/>
  <c r="AJ90" i="13"/>
  <c r="AI90" i="13"/>
  <c r="AO90" i="13" s="1"/>
  <c r="AH90" i="13"/>
  <c r="AN90" i="13" s="1"/>
  <c r="AG90" i="13"/>
  <c r="AF90" i="13"/>
  <c r="AE71" i="13"/>
  <c r="AG71" i="13" s="1"/>
  <c r="I92" i="13"/>
  <c r="H92" i="13"/>
  <c r="G92" i="13"/>
  <c r="G73" i="13" s="1"/>
  <c r="F92" i="13"/>
  <c r="E92" i="13"/>
  <c r="I84" i="13"/>
  <c r="G84" i="13"/>
  <c r="E84" i="13"/>
  <c r="AD85" i="13"/>
  <c r="AC85" i="13"/>
  <c r="AB85" i="13"/>
  <c r="Y66" i="13"/>
  <c r="AD66" i="13" s="1"/>
  <c r="Z85" i="13"/>
  <c r="AL85" i="13" s="1"/>
  <c r="D67" i="13"/>
  <c r="F67" i="13" s="1"/>
  <c r="I86" i="13"/>
  <c r="H86" i="13"/>
  <c r="G86" i="13"/>
  <c r="E86" i="13"/>
  <c r="Q86" i="13" s="1"/>
  <c r="AY86" i="13"/>
  <c r="AX86" i="13"/>
  <c r="BJ86" i="13" s="1"/>
  <c r="AW86" i="13"/>
  <c r="AU86" i="13"/>
  <c r="BG86" i="13" s="1"/>
  <c r="AT67" i="13"/>
  <c r="AX67" i="13" s="1"/>
  <c r="AD87" i="13"/>
  <c r="AC87" i="13"/>
  <c r="AB87" i="13"/>
  <c r="Z87" i="13"/>
  <c r="AL87" i="13" s="1"/>
  <c r="Y68" i="13"/>
  <c r="AA68" i="13" s="1"/>
  <c r="I88" i="13"/>
  <c r="D69" i="13"/>
  <c r="G69" i="13" s="1"/>
  <c r="H88" i="13"/>
  <c r="G88" i="13"/>
  <c r="E88" i="13"/>
  <c r="Q88" i="13" s="1"/>
  <c r="AY88" i="13"/>
  <c r="AX88" i="13"/>
  <c r="AW88" i="13"/>
  <c r="AU88" i="13"/>
  <c r="BG88" i="13" s="1"/>
  <c r="AD89" i="13"/>
  <c r="AC89" i="13"/>
  <c r="AB89" i="13"/>
  <c r="Z89" i="13"/>
  <c r="AL89" i="13" s="1"/>
  <c r="I90" i="13"/>
  <c r="D71" i="13"/>
  <c r="F71" i="13" s="1"/>
  <c r="H90" i="13"/>
  <c r="G90" i="13"/>
  <c r="E90" i="13"/>
  <c r="AY90" i="13"/>
  <c r="AX90" i="13"/>
  <c r="AW90" i="13"/>
  <c r="AU90" i="13"/>
  <c r="AD91" i="13"/>
  <c r="Y72" i="13"/>
  <c r="AD72" i="13" s="1"/>
  <c r="AC91" i="13"/>
  <c r="AB91" i="13"/>
  <c r="AA91" i="13"/>
  <c r="Z91" i="13"/>
  <c r="AL91" i="13" s="1"/>
  <c r="Y69" i="13"/>
  <c r="Z69" i="13" s="1"/>
  <c r="AT70" i="13"/>
  <c r="AW70" i="13" s="1"/>
  <c r="J75" i="13"/>
  <c r="J76" i="13"/>
  <c r="BF92" i="13"/>
  <c r="AH85" i="13"/>
  <c r="AY85" i="13"/>
  <c r="M86" i="13"/>
  <c r="AD86" i="13"/>
  <c r="BC86" i="13"/>
  <c r="I87" i="13"/>
  <c r="AH87" i="13"/>
  <c r="AY87" i="13"/>
  <c r="M88" i="13"/>
  <c r="AD88" i="13"/>
  <c r="BC88" i="13"/>
  <c r="I89" i="13"/>
  <c r="AH89" i="13"/>
  <c r="AY89" i="13"/>
  <c r="M90" i="13"/>
  <c r="AD90" i="13"/>
  <c r="BC90" i="13"/>
  <c r="I91" i="13"/>
  <c r="U91" i="13" s="1"/>
  <c r="AH91" i="13"/>
  <c r="AY91" i="13"/>
  <c r="M92" i="13"/>
  <c r="AD92" i="13"/>
  <c r="AP92" i="13" s="1"/>
  <c r="BC92" i="13"/>
  <c r="I93" i="13"/>
  <c r="U93" i="13" s="1"/>
  <c r="AH93" i="13"/>
  <c r="AY93" i="13"/>
  <c r="BK93" i="13" s="1"/>
  <c r="M94" i="13"/>
  <c r="AD94" i="13"/>
  <c r="BC94" i="13"/>
  <c r="I95" i="13"/>
  <c r="U95" i="13" s="1"/>
  <c r="Z95" i="13"/>
  <c r="AL95" i="13" s="1"/>
  <c r="AH95" i="13"/>
  <c r="AY95" i="13"/>
  <c r="BK95" i="13" s="1"/>
  <c r="AA95" i="13"/>
  <c r="Y67" i="13"/>
  <c r="Z67" i="13" s="1"/>
  <c r="AZ67" i="13"/>
  <c r="BA67" i="13" s="1"/>
  <c r="AZ69" i="13"/>
  <c r="BB69" i="13" s="1"/>
  <c r="Y73" i="13"/>
  <c r="AZ73" i="13"/>
  <c r="BA73" i="13" s="1"/>
  <c r="AE74" i="13"/>
  <c r="AH74" i="13" s="1"/>
  <c r="Y75" i="13"/>
  <c r="Z75" i="13" s="1"/>
  <c r="P93" i="13"/>
  <c r="AJ85" i="13"/>
  <c r="O86" i="13"/>
  <c r="BE86" i="13"/>
  <c r="AJ87" i="13"/>
  <c r="O88" i="13"/>
  <c r="BE88" i="13"/>
  <c r="AJ89" i="13"/>
  <c r="AP89" i="13" s="1"/>
  <c r="O90" i="13"/>
  <c r="BE90" i="13"/>
  <c r="K91" i="13"/>
  <c r="AJ91" i="13"/>
  <c r="BA91" i="13"/>
  <c r="O92" i="13"/>
  <c r="AF92" i="13"/>
  <c r="BE92" i="13"/>
  <c r="K93" i="13"/>
  <c r="AJ93" i="13"/>
  <c r="BA93" i="13"/>
  <c r="O94" i="13"/>
  <c r="AF94" i="13"/>
  <c r="BE94" i="13"/>
  <c r="K95" i="13"/>
  <c r="AB95" i="13"/>
  <c r="AJ95" i="13"/>
  <c r="AP95" i="13" s="1"/>
  <c r="BA95" i="13"/>
  <c r="BB91" i="13"/>
  <c r="AG92" i="13"/>
  <c r="L93" i="13"/>
  <c r="BB93" i="13"/>
  <c r="AG94" i="13"/>
  <c r="L95" i="13"/>
  <c r="AC95" i="13"/>
  <c r="BB95" i="13"/>
  <c r="L91" i="13"/>
  <c r="AZ72" i="13"/>
  <c r="BB72" i="13" s="1"/>
  <c r="J74" i="13"/>
  <c r="N74" i="13" s="1"/>
  <c r="AZ75" i="13"/>
  <c r="BD75" i="13" s="1"/>
  <c r="Y76" i="13"/>
  <c r="AA76" i="13" s="1"/>
  <c r="AU85" i="13"/>
  <c r="Z86" i="13"/>
  <c r="E87" i="13"/>
  <c r="AU87" i="13"/>
  <c r="Z88" i="13"/>
  <c r="E89" i="13"/>
  <c r="AU89" i="13"/>
  <c r="Z90" i="13"/>
  <c r="E91" i="13"/>
  <c r="M91" i="13"/>
  <c r="S91" i="13" s="1"/>
  <c r="AU91" i="13"/>
  <c r="BC91" i="13"/>
  <c r="BI91" i="13" s="1"/>
  <c r="Z92" i="13"/>
  <c r="AH92" i="13"/>
  <c r="AN92" i="13" s="1"/>
  <c r="E93" i="13"/>
  <c r="M93" i="13"/>
  <c r="S93" i="13" s="1"/>
  <c r="AU93" i="13"/>
  <c r="BC93" i="13"/>
  <c r="BI93" i="13" s="1"/>
  <c r="Z94" i="13"/>
  <c r="AH94" i="13"/>
  <c r="AN94" i="13" s="1"/>
  <c r="E95" i="13"/>
  <c r="M95" i="13"/>
  <c r="AU95" i="13"/>
  <c r="BC95" i="13"/>
  <c r="AV85" i="13"/>
  <c r="AA86" i="13"/>
  <c r="AV87" i="13"/>
  <c r="F89" i="13"/>
  <c r="AA90" i="13"/>
  <c r="F91" i="13"/>
  <c r="N91" i="13"/>
  <c r="T91" i="13" s="1"/>
  <c r="AA92" i="13"/>
  <c r="AI92" i="13"/>
  <c r="AO92" i="13" s="1"/>
  <c r="F93" i="13"/>
  <c r="N93" i="13"/>
  <c r="AV93" i="13"/>
  <c r="BD93" i="13"/>
  <c r="AA94" i="13"/>
  <c r="AI94" i="13"/>
  <c r="F95" i="13"/>
  <c r="N95" i="13"/>
  <c r="AV95" i="13"/>
  <c r="BD95" i="13"/>
  <c r="BJ95" i="13" s="1"/>
  <c r="F87" i="13"/>
  <c r="AA88" i="13"/>
  <c r="AV89" i="13"/>
  <c r="AV91" i="13"/>
  <c r="BD91" i="13"/>
  <c r="AE70" i="13"/>
  <c r="AI70" i="13" s="1"/>
  <c r="Y71" i="13"/>
  <c r="AA71" i="13" s="1"/>
  <c r="AZ71" i="13"/>
  <c r="BC71" i="13" s="1"/>
  <c r="J73" i="13"/>
  <c r="L73" i="13" s="1"/>
  <c r="BF90" i="13"/>
  <c r="J96" i="13"/>
  <c r="P91" i="13"/>
  <c r="P92" i="13"/>
  <c r="R90" i="13"/>
  <c r="AT96" i="13"/>
  <c r="AT97" i="13" s="1"/>
  <c r="AW65" i="13"/>
  <c r="AK94" i="13"/>
  <c r="AK85" i="13"/>
  <c r="AT68" i="13"/>
  <c r="AV68" i="13" s="1"/>
  <c r="P89" i="13"/>
  <c r="D66" i="13"/>
  <c r="H66" i="13" s="1"/>
  <c r="J71" i="13"/>
  <c r="AT74" i="13"/>
  <c r="AW74" i="13" s="1"/>
  <c r="Y96" i="13"/>
  <c r="BF85" i="13"/>
  <c r="P86" i="13"/>
  <c r="AE96" i="13"/>
  <c r="AT66" i="13"/>
  <c r="AY66" i="13" s="1"/>
  <c r="BF88" i="13"/>
  <c r="Y70" i="13"/>
  <c r="BF93" i="13"/>
  <c r="D96" i="13"/>
  <c r="D97" i="13" s="1"/>
  <c r="AZ96" i="13"/>
  <c r="AE65" i="13"/>
  <c r="AJ65" i="13" s="1"/>
  <c r="AE66" i="13"/>
  <c r="AU67" i="13"/>
  <c r="P84" i="13"/>
  <c r="AK87" i="13"/>
  <c r="AE69" i="13"/>
  <c r="AK89" i="13"/>
  <c r="AK90" i="13"/>
  <c r="BF94" i="13"/>
  <c r="AK91" i="13"/>
  <c r="P88" i="13"/>
  <c r="AK93" i="13"/>
  <c r="BF95" i="13"/>
  <c r="F73" i="13"/>
  <c r="AK95" i="13"/>
  <c r="BF89" i="13"/>
  <c r="P94" i="13"/>
  <c r="P95" i="13"/>
  <c r="AC124" i="13"/>
  <c r="N126" i="13"/>
  <c r="AX129" i="13"/>
  <c r="O126" i="13"/>
  <c r="K126" i="13"/>
  <c r="AI131" i="13"/>
  <c r="AH131" i="13"/>
  <c r="AG131" i="13"/>
  <c r="O133" i="13"/>
  <c r="BB132" i="13"/>
  <c r="BC132" i="13"/>
  <c r="AV76" i="13"/>
  <c r="AU76" i="13"/>
  <c r="AW76" i="13"/>
  <c r="AX76" i="13"/>
  <c r="AY76" i="13"/>
  <c r="BD76" i="13"/>
  <c r="BC76" i="13"/>
  <c r="BA76" i="13"/>
  <c r="AI75" i="13"/>
  <c r="F75" i="13"/>
  <c r="BF76" i="13"/>
  <c r="BA46" i="13"/>
  <c r="BE46" i="13"/>
  <c r="AZ58" i="13"/>
  <c r="AZ59" i="13" s="1"/>
  <c r="BD46" i="13"/>
  <c r="BF46" i="13"/>
  <c r="BC46" i="13"/>
  <c r="AA46" i="13"/>
  <c r="BB46" i="13"/>
  <c r="K46" i="13"/>
  <c r="O46" i="13"/>
  <c r="N46" i="13"/>
  <c r="M46" i="13"/>
  <c r="L46" i="13"/>
  <c r="AF47" i="13"/>
  <c r="AJ47" i="13"/>
  <c r="AI47" i="13"/>
  <c r="AO47" i="13" s="1"/>
  <c r="AH47" i="13"/>
  <c r="AD47" i="13"/>
  <c r="AB47" i="13"/>
  <c r="AA47" i="13"/>
  <c r="Z47" i="13"/>
  <c r="G47" i="13"/>
  <c r="E47" i="13"/>
  <c r="I47" i="13"/>
  <c r="U47" i="13" s="1"/>
  <c r="F47" i="13"/>
  <c r="AG47" i="13"/>
  <c r="G53" i="13"/>
  <c r="F53" i="13"/>
  <c r="E53" i="13"/>
  <c r="I53" i="13"/>
  <c r="U53" i="13" s="1"/>
  <c r="H53" i="13"/>
  <c r="AB46" i="13"/>
  <c r="Z46" i="13"/>
  <c r="AD46" i="13"/>
  <c r="AC46" i="13"/>
  <c r="AO46" i="13" s="1"/>
  <c r="I48" i="13"/>
  <c r="G48" i="13"/>
  <c r="F48" i="13"/>
  <c r="E48" i="13"/>
  <c r="I46" i="13"/>
  <c r="G46" i="13"/>
  <c r="F46" i="13"/>
  <c r="E46" i="13"/>
  <c r="H47" i="13"/>
  <c r="AW47" i="13"/>
  <c r="AU47" i="13"/>
  <c r="AY47" i="13"/>
  <c r="BK47" i="13" s="1"/>
  <c r="K48" i="13"/>
  <c r="O48" i="13"/>
  <c r="L48" i="13"/>
  <c r="N48" i="13"/>
  <c r="T48" i="13" s="1"/>
  <c r="M48" i="13"/>
  <c r="BA48" i="13"/>
  <c r="BE48" i="13"/>
  <c r="BD48" i="13"/>
  <c r="BB48" i="13"/>
  <c r="BC48" i="13"/>
  <c r="BF48" i="13"/>
  <c r="AF49" i="13"/>
  <c r="AJ49" i="13"/>
  <c r="AI49" i="13"/>
  <c r="AH49" i="13"/>
  <c r="AG49" i="13"/>
  <c r="K50" i="13"/>
  <c r="O50" i="13"/>
  <c r="N50" i="13"/>
  <c r="L50" i="13"/>
  <c r="M50" i="13"/>
  <c r="BA50" i="13"/>
  <c r="BE50" i="13"/>
  <c r="BB50" i="13"/>
  <c r="BD50" i="13"/>
  <c r="BC50" i="13"/>
  <c r="AB52" i="13"/>
  <c r="AA52" i="13"/>
  <c r="AM52" i="13" s="1"/>
  <c r="Z52" i="13"/>
  <c r="AD52" i="13"/>
  <c r="AC52" i="13"/>
  <c r="AY46" i="13"/>
  <c r="AW46" i="13"/>
  <c r="AV46" i="13"/>
  <c r="AU46" i="13"/>
  <c r="AX46" i="13"/>
  <c r="AK47" i="13"/>
  <c r="AB48" i="13"/>
  <c r="Z48" i="13"/>
  <c r="AC48" i="13"/>
  <c r="AD48" i="13"/>
  <c r="AP48" i="13" s="1"/>
  <c r="G49" i="13"/>
  <c r="E49" i="13"/>
  <c r="H49" i="13"/>
  <c r="T49" i="13" s="1"/>
  <c r="I49" i="13"/>
  <c r="U49" i="13" s="1"/>
  <c r="AW49" i="13"/>
  <c r="AU49" i="13"/>
  <c r="AY49" i="13"/>
  <c r="BK49" i="13" s="1"/>
  <c r="AX49" i="13"/>
  <c r="AB50" i="13"/>
  <c r="Z50" i="13"/>
  <c r="AC50" i="13"/>
  <c r="AD50" i="13"/>
  <c r="AP50" i="13" s="1"/>
  <c r="G51" i="13"/>
  <c r="E51" i="13"/>
  <c r="H51" i="13"/>
  <c r="I51" i="13"/>
  <c r="AW51" i="13"/>
  <c r="AV51" i="13"/>
  <c r="AU51" i="13"/>
  <c r="AX51" i="13"/>
  <c r="AY51" i="13"/>
  <c r="L52" i="13"/>
  <c r="BB52" i="13"/>
  <c r="AG53" i="13"/>
  <c r="AX53" i="13"/>
  <c r="L54" i="13"/>
  <c r="AC54" i="13"/>
  <c r="AO54" i="13" s="1"/>
  <c r="BB54" i="13"/>
  <c r="H55" i="13"/>
  <c r="AG55" i="13"/>
  <c r="AX55" i="13"/>
  <c r="L56" i="13"/>
  <c r="AC56" i="13"/>
  <c r="BB56" i="13"/>
  <c r="H57" i="13"/>
  <c r="AG57" i="13"/>
  <c r="AX57" i="13"/>
  <c r="BJ57" i="13" s="1"/>
  <c r="AU48" i="13"/>
  <c r="Z49" i="13"/>
  <c r="E50" i="13"/>
  <c r="Q50" i="13" s="1"/>
  <c r="AU50" i="13"/>
  <c r="Z51" i="13"/>
  <c r="AL51" i="13" s="1"/>
  <c r="AH51" i="13"/>
  <c r="E52" i="13"/>
  <c r="M52" i="13"/>
  <c r="AU52" i="13"/>
  <c r="BG52" i="13" s="1"/>
  <c r="BC52" i="13"/>
  <c r="Z53" i="13"/>
  <c r="AL53" i="13" s="1"/>
  <c r="AH53" i="13"/>
  <c r="AY53" i="13"/>
  <c r="BK53" i="13" s="1"/>
  <c r="E54" i="13"/>
  <c r="Q54" i="13" s="1"/>
  <c r="M54" i="13"/>
  <c r="AD54" i="13"/>
  <c r="AU54" i="13"/>
  <c r="BG54" i="13" s="1"/>
  <c r="BC54" i="13"/>
  <c r="I55" i="13"/>
  <c r="U55" i="13" s="1"/>
  <c r="Z55" i="13"/>
  <c r="AL55" i="13" s="1"/>
  <c r="AH55" i="13"/>
  <c r="AY55" i="13"/>
  <c r="BK55" i="13" s="1"/>
  <c r="E56" i="13"/>
  <c r="M56" i="13"/>
  <c r="AD56" i="13"/>
  <c r="AP56" i="13" s="1"/>
  <c r="AU56" i="13"/>
  <c r="BG56" i="13" s="1"/>
  <c r="BC56" i="13"/>
  <c r="I57" i="13"/>
  <c r="Z57" i="13"/>
  <c r="AL57" i="13" s="1"/>
  <c r="AH57" i="13"/>
  <c r="AY57" i="13"/>
  <c r="BF52" i="13"/>
  <c r="AA49" i="13"/>
  <c r="AV50" i="13"/>
  <c r="F52" i="13"/>
  <c r="N52" i="13"/>
  <c r="AA53" i="13"/>
  <c r="AI53" i="13"/>
  <c r="AO53" i="13" s="1"/>
  <c r="AV54" i="13"/>
  <c r="BD54" i="13"/>
  <c r="AA55" i="13"/>
  <c r="AI55" i="13"/>
  <c r="AV56" i="13"/>
  <c r="AA57" i="13"/>
  <c r="AI57" i="13"/>
  <c r="AO57" i="13" s="1"/>
  <c r="AG51" i="13"/>
  <c r="AV48" i="13"/>
  <c r="F50" i="13"/>
  <c r="AA51" i="13"/>
  <c r="AI51" i="13"/>
  <c r="AV52" i="13"/>
  <c r="BD52" i="13"/>
  <c r="BJ52" i="13" s="1"/>
  <c r="F54" i="13"/>
  <c r="N54" i="13"/>
  <c r="F56" i="13"/>
  <c r="N56" i="13"/>
  <c r="BD56" i="13"/>
  <c r="AF46" i="13"/>
  <c r="K47" i="13"/>
  <c r="BA47" i="13"/>
  <c r="AF48" i="13"/>
  <c r="AW48" i="13"/>
  <c r="K49" i="13"/>
  <c r="AB49" i="13"/>
  <c r="BA49" i="13"/>
  <c r="BG49" i="13" s="1"/>
  <c r="G50" i="13"/>
  <c r="AF50" i="13"/>
  <c r="AW50" i="13"/>
  <c r="K51" i="13"/>
  <c r="AB51" i="13"/>
  <c r="AJ51" i="13"/>
  <c r="BA51" i="13"/>
  <c r="G52" i="13"/>
  <c r="O52" i="13"/>
  <c r="AF52" i="13"/>
  <c r="AW52" i="13"/>
  <c r="BE52" i="13"/>
  <c r="BK52" i="13" s="1"/>
  <c r="K53" i="13"/>
  <c r="AB53" i="13"/>
  <c r="AJ53" i="13"/>
  <c r="AP53" i="13" s="1"/>
  <c r="BA53" i="13"/>
  <c r="G54" i="13"/>
  <c r="O54" i="13"/>
  <c r="AF54" i="13"/>
  <c r="AW54" i="13"/>
  <c r="BE54" i="13"/>
  <c r="BK54" i="13" s="1"/>
  <c r="K55" i="13"/>
  <c r="AB55" i="13"/>
  <c r="AJ55" i="13"/>
  <c r="AP55" i="13" s="1"/>
  <c r="BA55" i="13"/>
  <c r="G56" i="13"/>
  <c r="O56" i="13"/>
  <c r="U56" i="13" s="1"/>
  <c r="AF56" i="13"/>
  <c r="AW56" i="13"/>
  <c r="BE56" i="13"/>
  <c r="K57" i="13"/>
  <c r="AB57" i="13"/>
  <c r="AJ57" i="13"/>
  <c r="AP57" i="13" s="1"/>
  <c r="BA57" i="13"/>
  <c r="AK48" i="13"/>
  <c r="BF53" i="13"/>
  <c r="AH46" i="13"/>
  <c r="M47" i="13"/>
  <c r="BC47" i="13"/>
  <c r="BI47" i="13" s="1"/>
  <c r="AH48" i="13"/>
  <c r="M49" i="13"/>
  <c r="BC49" i="13"/>
  <c r="AH50" i="13"/>
  <c r="AN50" i="13" s="1"/>
  <c r="M51" i="13"/>
  <c r="BC51" i="13"/>
  <c r="AH52" i="13"/>
  <c r="M53" i="13"/>
  <c r="AU53" i="13"/>
  <c r="BC53" i="13"/>
  <c r="BI53" i="13" s="1"/>
  <c r="Z54" i="13"/>
  <c r="AH54" i="13"/>
  <c r="AN54" i="13" s="1"/>
  <c r="E55" i="13"/>
  <c r="M55" i="13"/>
  <c r="AU55" i="13"/>
  <c r="BC55" i="13"/>
  <c r="BI55" i="13" s="1"/>
  <c r="Z56" i="13"/>
  <c r="AH56" i="13"/>
  <c r="AN56" i="13" s="1"/>
  <c r="E57" i="13"/>
  <c r="M57" i="13"/>
  <c r="S57" i="13" s="1"/>
  <c r="AU57" i="13"/>
  <c r="BC57" i="13"/>
  <c r="BI57" i="13" s="1"/>
  <c r="F57" i="13"/>
  <c r="AV53" i="13"/>
  <c r="AA54" i="13"/>
  <c r="F55" i="13"/>
  <c r="AV55" i="13"/>
  <c r="AA56" i="13"/>
  <c r="AV57" i="13"/>
  <c r="BH57" i="13" s="1"/>
  <c r="AK46" i="13"/>
  <c r="AK52" i="13"/>
  <c r="BF56" i="13"/>
  <c r="BF54" i="13"/>
  <c r="P47" i="13"/>
  <c r="BF47" i="13"/>
  <c r="P48" i="13"/>
  <c r="AK50" i="13"/>
  <c r="BF55" i="13"/>
  <c r="P46" i="13"/>
  <c r="P49" i="13"/>
  <c r="AK54" i="13"/>
  <c r="AK51" i="13"/>
  <c r="P50" i="13"/>
  <c r="P52" i="13"/>
  <c r="AK55" i="13"/>
  <c r="AK56" i="13"/>
  <c r="BF57" i="13"/>
  <c r="P53" i="13"/>
  <c r="AT58" i="13"/>
  <c r="AT59" i="13" s="1"/>
  <c r="AK49" i="13"/>
  <c r="AK53" i="13"/>
  <c r="P55" i="13"/>
  <c r="P56" i="13"/>
  <c r="AK57" i="13"/>
  <c r="J58" i="13"/>
  <c r="BF49" i="13"/>
  <c r="BF50" i="13"/>
  <c r="D58" i="13"/>
  <c r="AE58" i="13"/>
  <c r="BF51" i="13"/>
  <c r="P57" i="13"/>
  <c r="AU33" i="13"/>
  <c r="BF31" i="13"/>
  <c r="AX30" i="13"/>
  <c r="AV37" i="13"/>
  <c r="AX38" i="13"/>
  <c r="AV29" i="13"/>
  <c r="BH29" i="13" s="1"/>
  <c r="AV33" i="13"/>
  <c r="AX34" i="13"/>
  <c r="AU28" i="13"/>
  <c r="AW29" i="13"/>
  <c r="AY30" i="13"/>
  <c r="AU32" i="13"/>
  <c r="AW33" i="13"/>
  <c r="AY34" i="13"/>
  <c r="AU36" i="13"/>
  <c r="AW37" i="13"/>
  <c r="BI37" i="13" s="1"/>
  <c r="AY38" i="13"/>
  <c r="AV28" i="13"/>
  <c r="AX29" i="13"/>
  <c r="AV36" i="13"/>
  <c r="AX37" i="13"/>
  <c r="AU29" i="13"/>
  <c r="AW30" i="13"/>
  <c r="AV32" i="13"/>
  <c r="AX33" i="13"/>
  <c r="AU27" i="13"/>
  <c r="AW28" i="13"/>
  <c r="AY29" i="13"/>
  <c r="BK29" i="13" s="1"/>
  <c r="AU31" i="13"/>
  <c r="AW32" i="13"/>
  <c r="AU35" i="13"/>
  <c r="AW36" i="13"/>
  <c r="AV35" i="13"/>
  <c r="AX36" i="13"/>
  <c r="BJ36" i="13" s="1"/>
  <c r="BF38" i="13"/>
  <c r="AU38" i="13"/>
  <c r="BB28" i="13"/>
  <c r="BB27" i="13"/>
  <c r="BH27" i="13" s="1"/>
  <c r="BD31" i="13"/>
  <c r="BJ31" i="13" s="1"/>
  <c r="BB34" i="13"/>
  <c r="BD35" i="13"/>
  <c r="BE27" i="13"/>
  <c r="BA29" i="13"/>
  <c r="BC30" i="13"/>
  <c r="BE31" i="13"/>
  <c r="BA33" i="13"/>
  <c r="BC34" i="13"/>
  <c r="BE35" i="13"/>
  <c r="BK35" i="13" s="1"/>
  <c r="BA37" i="13"/>
  <c r="BC38" i="13"/>
  <c r="BD34" i="13"/>
  <c r="BB37" i="13"/>
  <c r="BD38" i="13"/>
  <c r="BJ38" i="13" s="1"/>
  <c r="BB32" i="13"/>
  <c r="BB36" i="13"/>
  <c r="BD37" i="13"/>
  <c r="BF30" i="13"/>
  <c r="BF34" i="13"/>
  <c r="BA27" i="13"/>
  <c r="BC28" i="13"/>
  <c r="BA31" i="13"/>
  <c r="BC32" i="13"/>
  <c r="BI32" i="13" s="1"/>
  <c r="BA35" i="13"/>
  <c r="BG35" i="13" s="1"/>
  <c r="BC36" i="13"/>
  <c r="BI36" i="13" s="1"/>
  <c r="BD28" i="13"/>
  <c r="BB31" i="13"/>
  <c r="BD32" i="13"/>
  <c r="BC27" i="13"/>
  <c r="BA30" i="13"/>
  <c r="BC31" i="13"/>
  <c r="BI31" i="13" s="1"/>
  <c r="BA38" i="13"/>
  <c r="BF27" i="13"/>
  <c r="AZ39" i="13"/>
  <c r="BF35" i="13"/>
  <c r="BF28" i="13"/>
  <c r="BF32" i="13"/>
  <c r="BF36" i="13"/>
  <c r="BK33" i="13"/>
  <c r="BK37" i="13"/>
  <c r="BF33" i="13"/>
  <c r="BF37" i="13"/>
  <c r="AT39" i="13"/>
  <c r="AT40" i="13" s="1"/>
  <c r="BI35" i="13"/>
  <c r="AA29" i="13"/>
  <c r="AA37" i="13"/>
  <c r="AC38" i="13"/>
  <c r="AC30" i="13"/>
  <c r="AA33" i="13"/>
  <c r="AC34" i="13"/>
  <c r="Z28" i="13"/>
  <c r="AB29" i="13"/>
  <c r="AD30" i="13"/>
  <c r="Z32" i="13"/>
  <c r="AB33" i="13"/>
  <c r="AD34" i="13"/>
  <c r="Z36" i="13"/>
  <c r="AB37" i="13"/>
  <c r="AD38" i="13"/>
  <c r="AA36" i="13"/>
  <c r="AC37" i="13"/>
  <c r="Z29" i="13"/>
  <c r="AA28" i="13"/>
  <c r="AC29" i="13"/>
  <c r="AA32" i="13"/>
  <c r="AC33" i="13"/>
  <c r="Z27" i="13"/>
  <c r="AB28" i="13"/>
  <c r="AN28" i="13" s="1"/>
  <c r="Z31" i="13"/>
  <c r="AB32" i="13"/>
  <c r="AN32" i="13" s="1"/>
  <c r="Z35" i="13"/>
  <c r="AB36" i="13"/>
  <c r="AN36" i="13" s="1"/>
  <c r="AA35" i="13"/>
  <c r="AM35" i="13" s="1"/>
  <c r="AC36" i="13"/>
  <c r="AO36" i="13" s="1"/>
  <c r="Z30" i="13"/>
  <c r="Z34" i="13"/>
  <c r="AB35" i="13"/>
  <c r="Z38" i="13"/>
  <c r="AG30" i="13"/>
  <c r="AG33" i="13"/>
  <c r="AI34" i="13"/>
  <c r="AG37" i="13"/>
  <c r="AI38" i="13"/>
  <c r="AF29" i="13"/>
  <c r="AH30" i="13"/>
  <c r="AG29" i="13"/>
  <c r="AI30" i="13"/>
  <c r="AK38" i="13"/>
  <c r="AF28" i="13"/>
  <c r="AH29" i="13"/>
  <c r="AJ30" i="13"/>
  <c r="AF32" i="13"/>
  <c r="AH33" i="13"/>
  <c r="AJ34" i="13"/>
  <c r="AF36" i="13"/>
  <c r="AH37" i="13"/>
  <c r="AJ38" i="13"/>
  <c r="AF33" i="13"/>
  <c r="AH34" i="13"/>
  <c r="AG28" i="13"/>
  <c r="AI29" i="13"/>
  <c r="AG36" i="13"/>
  <c r="AI37" i="13"/>
  <c r="AF30" i="13"/>
  <c r="AH38" i="13"/>
  <c r="AK27" i="13"/>
  <c r="AK34" i="13"/>
  <c r="AG32" i="13"/>
  <c r="AI33" i="13"/>
  <c r="AF38" i="13"/>
  <c r="AF34" i="13"/>
  <c r="AK35" i="13"/>
  <c r="AK32" i="13"/>
  <c r="AE39" i="13"/>
  <c r="AK36" i="13"/>
  <c r="AP29" i="13"/>
  <c r="AP37" i="13"/>
  <c r="AK28" i="13"/>
  <c r="AK29" i="13"/>
  <c r="AK33" i="13"/>
  <c r="AK37" i="13"/>
  <c r="Y39" i="13"/>
  <c r="Y40" i="13" s="1"/>
  <c r="N30" i="13"/>
  <c r="O27" i="13"/>
  <c r="N35" i="13"/>
  <c r="N31" i="13"/>
  <c r="L30" i="13"/>
  <c r="N27" i="13"/>
  <c r="M35" i="13"/>
  <c r="M31" i="13"/>
  <c r="M27" i="13"/>
  <c r="L27" i="13"/>
  <c r="O67" i="13" l="1"/>
  <c r="AY129" i="13"/>
  <c r="AO145" i="13"/>
  <c r="AU129" i="13"/>
  <c r="AV129" i="13"/>
  <c r="BI94" i="13"/>
  <c r="AV133" i="13"/>
  <c r="AW122" i="13"/>
  <c r="I124" i="13"/>
  <c r="AK124" i="13"/>
  <c r="BJ112" i="13"/>
  <c r="AD124" i="13"/>
  <c r="E131" i="13"/>
  <c r="AA124" i="13"/>
  <c r="Z124" i="13"/>
  <c r="E124" i="13"/>
  <c r="AI73" i="13"/>
  <c r="T112" i="13"/>
  <c r="AW133" i="13"/>
  <c r="BC130" i="13"/>
  <c r="BA123" i="13"/>
  <c r="U105" i="13"/>
  <c r="BA130" i="13"/>
  <c r="BE130" i="13"/>
  <c r="BK130" i="13" s="1"/>
  <c r="T52" i="13"/>
  <c r="R94" i="13"/>
  <c r="AU133" i="13"/>
  <c r="T171" i="13"/>
  <c r="BJ168" i="13"/>
  <c r="T144" i="13"/>
  <c r="BC129" i="13"/>
  <c r="BI129" i="13" s="1"/>
  <c r="BJ90" i="13"/>
  <c r="BD130" i="13"/>
  <c r="BH109" i="13"/>
  <c r="BJ170" i="13"/>
  <c r="BD123" i="13"/>
  <c r="AY133" i="13"/>
  <c r="BJ143" i="13"/>
  <c r="AN35" i="13"/>
  <c r="T93" i="13"/>
  <c r="T86" i="13"/>
  <c r="BG32" i="13"/>
  <c r="AF73" i="13"/>
  <c r="Q108" i="13"/>
  <c r="AH73" i="13"/>
  <c r="AK73" i="13"/>
  <c r="AJ73" i="13"/>
  <c r="BJ150" i="13"/>
  <c r="T149" i="13"/>
  <c r="BH142" i="13"/>
  <c r="BC65" i="13"/>
  <c r="BI65" i="13" s="1"/>
  <c r="H69" i="13"/>
  <c r="H76" i="13"/>
  <c r="S86" i="13"/>
  <c r="M67" i="13"/>
  <c r="I129" i="13"/>
  <c r="BI90" i="13"/>
  <c r="P76" i="13"/>
  <c r="G128" i="13"/>
  <c r="P123" i="13"/>
  <c r="AG126" i="13"/>
  <c r="E128" i="13"/>
  <c r="F128" i="13"/>
  <c r="I128" i="13"/>
  <c r="U128" i="13" s="1"/>
  <c r="BB131" i="13"/>
  <c r="BH168" i="13"/>
  <c r="AG129" i="13"/>
  <c r="AI129" i="13"/>
  <c r="AF129" i="13"/>
  <c r="BD124" i="13"/>
  <c r="AO150" i="13"/>
  <c r="AY67" i="13"/>
  <c r="T106" i="13"/>
  <c r="AM110" i="13"/>
  <c r="AF75" i="13"/>
  <c r="BJ91" i="13"/>
  <c r="AY69" i="13"/>
  <c r="AU69" i="13"/>
  <c r="L66" i="13"/>
  <c r="T87" i="13"/>
  <c r="BJ84" i="13"/>
  <c r="AW69" i="13"/>
  <c r="E69" i="13"/>
  <c r="AX69" i="13"/>
  <c r="L68" i="13"/>
  <c r="AM95" i="13"/>
  <c r="BJ53" i="13"/>
  <c r="BJ54" i="13"/>
  <c r="BK57" i="13"/>
  <c r="AP49" i="13"/>
  <c r="BK31" i="13"/>
  <c r="BH47" i="13"/>
  <c r="AO49" i="13"/>
  <c r="BB123" i="13"/>
  <c r="AG133" i="13"/>
  <c r="T168" i="13"/>
  <c r="AH133" i="13"/>
  <c r="F129" i="13"/>
  <c r="BC123" i="13"/>
  <c r="AI133" i="13"/>
  <c r="AN164" i="13"/>
  <c r="N123" i="13"/>
  <c r="L123" i="13"/>
  <c r="BA124" i="13"/>
  <c r="AI125" i="13"/>
  <c r="AJ129" i="13"/>
  <c r="AM164" i="13"/>
  <c r="BE124" i="13"/>
  <c r="K123" i="13"/>
  <c r="AN165" i="13"/>
  <c r="M123" i="13"/>
  <c r="BB124" i="13"/>
  <c r="AO169" i="13"/>
  <c r="AG132" i="13"/>
  <c r="AH75" i="13"/>
  <c r="M72" i="13"/>
  <c r="K72" i="13"/>
  <c r="AG70" i="13"/>
  <c r="AP109" i="13"/>
  <c r="AJ75" i="13"/>
  <c r="BG114" i="13"/>
  <c r="Q104" i="13"/>
  <c r="T103" i="13"/>
  <c r="N72" i="13"/>
  <c r="T108" i="13"/>
  <c r="O72" i="13"/>
  <c r="U72" i="13" s="1"/>
  <c r="BG110" i="13"/>
  <c r="BG94" i="13"/>
  <c r="P65" i="13"/>
  <c r="AO85" i="13"/>
  <c r="M70" i="13"/>
  <c r="AH67" i="13"/>
  <c r="AG74" i="13"/>
  <c r="BJ49" i="13"/>
  <c r="BK51" i="13"/>
  <c r="R55" i="13"/>
  <c r="BI48" i="13"/>
  <c r="AO148" i="13"/>
  <c r="T94" i="13"/>
  <c r="BH151" i="13"/>
  <c r="R70" i="13"/>
  <c r="N70" i="13"/>
  <c r="AI132" i="13"/>
  <c r="F127" i="13"/>
  <c r="AJ132" i="13"/>
  <c r="BG92" i="13"/>
  <c r="AN144" i="13"/>
  <c r="O70" i="13"/>
  <c r="AM112" i="13"/>
  <c r="P70" i="13"/>
  <c r="T56" i="13"/>
  <c r="AO91" i="13"/>
  <c r="AO88" i="13"/>
  <c r="F125" i="13"/>
  <c r="R57" i="13"/>
  <c r="BJ51" i="13"/>
  <c r="R53" i="13"/>
  <c r="BF67" i="13"/>
  <c r="H127" i="13"/>
  <c r="BI92" i="13"/>
  <c r="S85" i="13"/>
  <c r="BH104" i="13"/>
  <c r="AP35" i="13"/>
  <c r="K70" i="13"/>
  <c r="AF132" i="13"/>
  <c r="E127" i="13"/>
  <c r="S95" i="13"/>
  <c r="G127" i="13"/>
  <c r="H131" i="13"/>
  <c r="AL37" i="13"/>
  <c r="I75" i="13"/>
  <c r="G131" i="13"/>
  <c r="AN170" i="13"/>
  <c r="AN162" i="13"/>
  <c r="I131" i="13"/>
  <c r="Q165" i="13"/>
  <c r="BC69" i="13"/>
  <c r="BD72" i="13"/>
  <c r="BF69" i="13"/>
  <c r="AY123" i="13"/>
  <c r="BF123" i="13"/>
  <c r="BJ123" i="13"/>
  <c r="AK127" i="13"/>
  <c r="AL86" i="13"/>
  <c r="BH92" i="13"/>
  <c r="Q111" i="13"/>
  <c r="AN132" i="13"/>
  <c r="BJ160" i="13"/>
  <c r="T54" i="13"/>
  <c r="BB67" i="13"/>
  <c r="AB69" i="13"/>
  <c r="BE67" i="13"/>
  <c r="BK67" i="13" s="1"/>
  <c r="S166" i="13"/>
  <c r="BC72" i="13"/>
  <c r="AM109" i="13"/>
  <c r="G125" i="13"/>
  <c r="R133" i="13"/>
  <c r="AK128" i="13"/>
  <c r="AN166" i="13"/>
  <c r="BD67" i="13"/>
  <c r="BJ67" i="13" s="1"/>
  <c r="AD127" i="13"/>
  <c r="AP127" i="13" s="1"/>
  <c r="AA69" i="13"/>
  <c r="AL103" i="13"/>
  <c r="AJ123" i="13"/>
  <c r="AO146" i="13"/>
  <c r="BJ145" i="13"/>
  <c r="AN128" i="13"/>
  <c r="AV123" i="13"/>
  <c r="P75" i="13"/>
  <c r="P131" i="13"/>
  <c r="AN143" i="13"/>
  <c r="AO144" i="13"/>
  <c r="BI110" i="13"/>
  <c r="K66" i="13"/>
  <c r="AN91" i="13"/>
  <c r="BH147" i="13"/>
  <c r="N66" i="13"/>
  <c r="T66" i="13" s="1"/>
  <c r="AO35" i="13"/>
  <c r="AN113" i="13"/>
  <c r="T89" i="13"/>
  <c r="AW68" i="13"/>
  <c r="M66" i="13"/>
  <c r="AO87" i="13"/>
  <c r="AO111" i="13"/>
  <c r="AV65" i="13"/>
  <c r="AO56" i="13"/>
  <c r="U50" i="13"/>
  <c r="R47" i="13"/>
  <c r="BD128" i="13"/>
  <c r="BB128" i="13"/>
  <c r="E73" i="13"/>
  <c r="AX65" i="13"/>
  <c r="AG68" i="13"/>
  <c r="AM68" i="13" s="1"/>
  <c r="BJ169" i="13"/>
  <c r="BI28" i="13"/>
  <c r="BH55" i="13"/>
  <c r="BJ50" i="13"/>
  <c r="BE131" i="13"/>
  <c r="BH112" i="13"/>
  <c r="R110" i="13"/>
  <c r="S113" i="13"/>
  <c r="BI107" i="13"/>
  <c r="T169" i="13"/>
  <c r="AN160" i="13"/>
  <c r="BH86" i="13"/>
  <c r="AO28" i="13"/>
  <c r="AM113" i="13"/>
  <c r="AO55" i="13"/>
  <c r="BJ87" i="13"/>
  <c r="I73" i="13"/>
  <c r="T151" i="13"/>
  <c r="T104" i="13"/>
  <c r="BK30" i="13"/>
  <c r="AO52" i="13"/>
  <c r="BK50" i="13"/>
  <c r="K73" i="13"/>
  <c r="AX125" i="13"/>
  <c r="AY124" i="13"/>
  <c r="AO89" i="13"/>
  <c r="AL105" i="13"/>
  <c r="G129" i="13"/>
  <c r="S129" i="13" s="1"/>
  <c r="S147" i="13"/>
  <c r="BI146" i="13"/>
  <c r="AM145" i="13"/>
  <c r="BJ147" i="13"/>
  <c r="AO166" i="13"/>
  <c r="AM171" i="13"/>
  <c r="BJ35" i="13"/>
  <c r="BH53" i="13"/>
  <c r="T55" i="13"/>
  <c r="AH68" i="13"/>
  <c r="H126" i="13"/>
  <c r="T126" i="13" s="1"/>
  <c r="AU124" i="13"/>
  <c r="AW130" i="13"/>
  <c r="BI130" i="13" s="1"/>
  <c r="BG161" i="13"/>
  <c r="AN31" i="13"/>
  <c r="AU65" i="13"/>
  <c r="BG65" i="13" s="1"/>
  <c r="BK56" i="13"/>
  <c r="AI68" i="13"/>
  <c r="AJ68" i="13"/>
  <c r="AX124" i="13"/>
  <c r="AU125" i="13"/>
  <c r="O129" i="13"/>
  <c r="AN95" i="13"/>
  <c r="AN52" i="13"/>
  <c r="Z72" i="13"/>
  <c r="L67" i="13"/>
  <c r="R67" i="13" s="1"/>
  <c r="BD68" i="13"/>
  <c r="AB72" i="13"/>
  <c r="AL92" i="13"/>
  <c r="BC73" i="13"/>
  <c r="I68" i="13"/>
  <c r="BJ88" i="13"/>
  <c r="AW125" i="13"/>
  <c r="BJ55" i="13"/>
  <c r="BJ167" i="13"/>
  <c r="Q171" i="13"/>
  <c r="BB68" i="13"/>
  <c r="BH68" i="13" s="1"/>
  <c r="AL109" i="13"/>
  <c r="AD131" i="13"/>
  <c r="T165" i="13"/>
  <c r="S56" i="13"/>
  <c r="S51" i="13"/>
  <c r="AJ130" i="13"/>
  <c r="AI123" i="13"/>
  <c r="BB127" i="13"/>
  <c r="BH127" i="13" s="1"/>
  <c r="S111" i="13"/>
  <c r="BH107" i="13"/>
  <c r="AN112" i="13"/>
  <c r="BF66" i="13"/>
  <c r="T148" i="13"/>
  <c r="BC126" i="13"/>
  <c r="BJ166" i="13"/>
  <c r="T92" i="13"/>
  <c r="AN30" i="13"/>
  <c r="AO109" i="13"/>
  <c r="AO107" i="13"/>
  <c r="BG28" i="13"/>
  <c r="BI34" i="13"/>
  <c r="BG36" i="13"/>
  <c r="AP51" i="13"/>
  <c r="Z71" i="13"/>
  <c r="AG123" i="13"/>
  <c r="BE127" i="13"/>
  <c r="AN51" i="13"/>
  <c r="BD127" i="13"/>
  <c r="BA127" i="13"/>
  <c r="T88" i="13"/>
  <c r="AN152" i="13"/>
  <c r="AO31" i="13"/>
  <c r="BH51" i="13"/>
  <c r="E75" i="13"/>
  <c r="AN131" i="13"/>
  <c r="AM111" i="13"/>
  <c r="R108" i="13"/>
  <c r="AL108" i="13"/>
  <c r="AG130" i="13"/>
  <c r="AM130" i="13" s="1"/>
  <c r="T114" i="13"/>
  <c r="G75" i="13"/>
  <c r="AF123" i="13"/>
  <c r="AK131" i="13"/>
  <c r="AD122" i="13"/>
  <c r="BI149" i="13"/>
  <c r="R146" i="13"/>
  <c r="AN87" i="13"/>
  <c r="T90" i="13"/>
  <c r="AL93" i="13"/>
  <c r="AO108" i="13"/>
  <c r="Z131" i="13"/>
  <c r="AL131" i="13" s="1"/>
  <c r="BI151" i="13"/>
  <c r="S142" i="13"/>
  <c r="BH106" i="13"/>
  <c r="G74" i="13"/>
  <c r="BE73" i="13"/>
  <c r="F65" i="13"/>
  <c r="AH124" i="13"/>
  <c r="AN124" i="13" s="1"/>
  <c r="BE133" i="13"/>
  <c r="BK133" i="13" s="1"/>
  <c r="K69" i="13"/>
  <c r="E70" i="13"/>
  <c r="H68" i="13"/>
  <c r="R168" i="13"/>
  <c r="R104" i="13"/>
  <c r="N65" i="13"/>
  <c r="BF70" i="13"/>
  <c r="N69" i="13"/>
  <c r="BH108" i="13"/>
  <c r="AO152" i="13"/>
  <c r="BJ146" i="13"/>
  <c r="M68" i="13"/>
  <c r="U57" i="13"/>
  <c r="BA68" i="13"/>
  <c r="O65" i="13"/>
  <c r="AV72" i="13"/>
  <c r="BH72" i="13" s="1"/>
  <c r="AF76" i="13"/>
  <c r="AV122" i="13"/>
  <c r="BE74" i="13"/>
  <c r="O68" i="13"/>
  <c r="BD70" i="13"/>
  <c r="R114" i="13"/>
  <c r="BG113" i="13"/>
  <c r="T161" i="13"/>
  <c r="BK38" i="13"/>
  <c r="I70" i="13"/>
  <c r="BC74" i="13"/>
  <c r="BI74" i="13" s="1"/>
  <c r="BH33" i="13"/>
  <c r="BI56" i="13"/>
  <c r="BC68" i="13"/>
  <c r="P68" i="13"/>
  <c r="H65" i="13"/>
  <c r="E76" i="13"/>
  <c r="AH76" i="13"/>
  <c r="BB70" i="13"/>
  <c r="BC70" i="13"/>
  <c r="BI70" i="13" s="1"/>
  <c r="S94" i="13"/>
  <c r="S88" i="13"/>
  <c r="BI113" i="13"/>
  <c r="AN108" i="13"/>
  <c r="AP151" i="13"/>
  <c r="BI168" i="13"/>
  <c r="AN163" i="13"/>
  <c r="T51" i="13"/>
  <c r="AO48" i="13"/>
  <c r="G68" i="13"/>
  <c r="I74" i="13"/>
  <c r="BA75" i="13"/>
  <c r="BG75" i="13" s="1"/>
  <c r="AJ76" i="13"/>
  <c r="AX122" i="13"/>
  <c r="BJ122" i="13" s="1"/>
  <c r="N68" i="13"/>
  <c r="BE70" i="13"/>
  <c r="AO95" i="13"/>
  <c r="AM91" i="13"/>
  <c r="AL144" i="13"/>
  <c r="T162" i="13"/>
  <c r="S48" i="13"/>
  <c r="S69" i="13"/>
  <c r="T164" i="13"/>
  <c r="AN29" i="13"/>
  <c r="BK48" i="13"/>
  <c r="AD76" i="13"/>
  <c r="H74" i="13"/>
  <c r="T74" i="13" s="1"/>
  <c r="AG76" i="13"/>
  <c r="AM76" i="13" s="1"/>
  <c r="BB75" i="13"/>
  <c r="I76" i="13"/>
  <c r="AO86" i="13"/>
  <c r="BA74" i="13"/>
  <c r="P116" i="13"/>
  <c r="BK114" i="13"/>
  <c r="U104" i="13"/>
  <c r="BI124" i="13"/>
  <c r="BI106" i="13"/>
  <c r="AW173" i="13"/>
  <c r="BH170" i="13"/>
  <c r="AN167" i="13"/>
  <c r="S162" i="13"/>
  <c r="R148" i="13"/>
  <c r="Q53" i="13"/>
  <c r="AD73" i="13"/>
  <c r="BF68" i="13"/>
  <c r="AC66" i="13"/>
  <c r="M75" i="13"/>
  <c r="AC72" i="13"/>
  <c r="O125" i="13"/>
  <c r="Z127" i="13"/>
  <c r="AA127" i="13"/>
  <c r="N76" i="13"/>
  <c r="T76" i="13" s="1"/>
  <c r="BA66" i="13"/>
  <c r="AD68" i="13"/>
  <c r="K67" i="13"/>
  <c r="AW97" i="13"/>
  <c r="H70" i="13"/>
  <c r="AY122" i="13"/>
  <c r="AP161" i="13"/>
  <c r="BI170" i="13"/>
  <c r="BI142" i="13"/>
  <c r="BF58" i="13"/>
  <c r="AW67" i="13"/>
  <c r="F76" i="13"/>
  <c r="AA72" i="13"/>
  <c r="Z66" i="13"/>
  <c r="BF129" i="13"/>
  <c r="K125" i="13"/>
  <c r="Q125" i="13" s="1"/>
  <c r="O76" i="13"/>
  <c r="AK66" i="13"/>
  <c r="BD66" i="13"/>
  <c r="G70" i="13"/>
  <c r="AH127" i="13"/>
  <c r="BJ162" i="13"/>
  <c r="BB73" i="13"/>
  <c r="AB66" i="13"/>
  <c r="E71" i="13"/>
  <c r="L125" i="13"/>
  <c r="BA129" i="13"/>
  <c r="BG129" i="13" s="1"/>
  <c r="BE66" i="13"/>
  <c r="BK66" i="13" s="1"/>
  <c r="BI88" i="13"/>
  <c r="AN89" i="13"/>
  <c r="BK143" i="13"/>
  <c r="AU123" i="13"/>
  <c r="BG123" i="13" s="1"/>
  <c r="AN148" i="13"/>
  <c r="S163" i="13"/>
  <c r="BI49" i="13"/>
  <c r="AK68" i="13"/>
  <c r="AB127" i="13"/>
  <c r="BF73" i="13"/>
  <c r="AW123" i="13"/>
  <c r="S165" i="13"/>
  <c r="S54" i="13"/>
  <c r="BI54" i="13"/>
  <c r="Z68" i="13"/>
  <c r="AL68" i="13" s="1"/>
  <c r="AV67" i="13"/>
  <c r="AC68" i="13"/>
  <c r="AA131" i="13"/>
  <c r="AM131" i="13" s="1"/>
  <c r="AV130" i="13"/>
  <c r="BH130" i="13" s="1"/>
  <c r="AN48" i="13"/>
  <c r="BD73" i="13"/>
  <c r="BJ73" i="13" s="1"/>
  <c r="AB68" i="13"/>
  <c r="AA66" i="13"/>
  <c r="S90" i="13"/>
  <c r="S151" i="13"/>
  <c r="BK91" i="13"/>
  <c r="AM162" i="13"/>
  <c r="U85" i="13"/>
  <c r="AP90" i="13"/>
  <c r="BK94" i="13"/>
  <c r="U92" i="13"/>
  <c r="AM114" i="13"/>
  <c r="BH87" i="13"/>
  <c r="AM46" i="13"/>
  <c r="BK88" i="13"/>
  <c r="BH146" i="13"/>
  <c r="R165" i="13"/>
  <c r="AM49" i="13"/>
  <c r="U88" i="13"/>
  <c r="R166" i="13"/>
  <c r="BJ113" i="13"/>
  <c r="BH85" i="13"/>
  <c r="BH89" i="13"/>
  <c r="AL142" i="13"/>
  <c r="U149" i="13"/>
  <c r="B61" i="11"/>
  <c r="AO163" i="13"/>
  <c r="Q55" i="13"/>
  <c r="AP147" i="13"/>
  <c r="Q142" i="13"/>
  <c r="U143" i="13"/>
  <c r="AP85" i="13"/>
  <c r="Q47" i="13"/>
  <c r="T95" i="13"/>
  <c r="AO93" i="13"/>
  <c r="AL28" i="13"/>
  <c r="AM32" i="13"/>
  <c r="R68" i="13"/>
  <c r="BK89" i="13"/>
  <c r="BJ92" i="13"/>
  <c r="BH114" i="13"/>
  <c r="T147" i="13"/>
  <c r="U142" i="13"/>
  <c r="U144" i="13"/>
  <c r="AP38" i="13"/>
  <c r="AO34" i="13"/>
  <c r="BJ93" i="13"/>
  <c r="AM90" i="13"/>
  <c r="BK148" i="13"/>
  <c r="BK146" i="13"/>
  <c r="BJ149" i="13"/>
  <c r="R164" i="13"/>
  <c r="AO162" i="13"/>
  <c r="BH54" i="13"/>
  <c r="AL33" i="13"/>
  <c r="Q57" i="13"/>
  <c r="U54" i="13"/>
  <c r="AM53" i="13"/>
  <c r="BH93" i="13"/>
  <c r="AP108" i="13"/>
  <c r="BH113" i="13"/>
  <c r="AL145" i="13"/>
  <c r="AP142" i="13"/>
  <c r="BH165" i="13"/>
  <c r="Q170" i="13"/>
  <c r="R109" i="13"/>
  <c r="AM149" i="13"/>
  <c r="BK150" i="13"/>
  <c r="BH161" i="13"/>
  <c r="AP27" i="13"/>
  <c r="R163" i="13"/>
  <c r="AM51" i="13"/>
  <c r="AL48" i="13"/>
  <c r="BK76" i="13"/>
  <c r="Q93" i="13"/>
  <c r="AP88" i="13"/>
  <c r="BK85" i="13"/>
  <c r="U86" i="13"/>
  <c r="AM88" i="13"/>
  <c r="R103" i="13"/>
  <c r="Q146" i="13"/>
  <c r="AM165" i="13"/>
  <c r="Q85" i="13"/>
  <c r="U151" i="13"/>
  <c r="BK145" i="13"/>
  <c r="BG165" i="13"/>
  <c r="AP30" i="13"/>
  <c r="Q51" i="13"/>
  <c r="R87" i="13"/>
  <c r="Q91" i="13"/>
  <c r="AL143" i="13"/>
  <c r="AP144" i="13"/>
  <c r="BG142" i="13"/>
  <c r="BK34" i="13"/>
  <c r="T50" i="13"/>
  <c r="BH52" i="13"/>
  <c r="AO114" i="13"/>
  <c r="BJ111" i="13"/>
  <c r="AO113" i="13"/>
  <c r="T170" i="13"/>
  <c r="BC59" i="13"/>
  <c r="BH69" i="13"/>
  <c r="G116" i="13"/>
  <c r="AN104" i="13"/>
  <c r="AL170" i="13"/>
  <c r="S170" i="13"/>
  <c r="BI164" i="13"/>
  <c r="BJ164" i="13"/>
  <c r="AL167" i="13"/>
  <c r="BG93" i="13"/>
  <c r="BG85" i="13"/>
  <c r="BJ109" i="13"/>
  <c r="AM92" i="13"/>
  <c r="AM143" i="13"/>
  <c r="BH148" i="13"/>
  <c r="AM28" i="13"/>
  <c r="BG33" i="13"/>
  <c r="AM36" i="13"/>
  <c r="BH32" i="13"/>
  <c r="BG47" i="13"/>
  <c r="AM57" i="13"/>
  <c r="BG50" i="13"/>
  <c r="T143" i="13"/>
  <c r="U146" i="13"/>
  <c r="AP47" i="13"/>
  <c r="BE58" i="13"/>
  <c r="U107" i="13"/>
  <c r="BG55" i="13"/>
  <c r="AO51" i="13"/>
  <c r="BJ110" i="13"/>
  <c r="AO105" i="13"/>
  <c r="AL56" i="13"/>
  <c r="BG48" i="13"/>
  <c r="R52" i="13"/>
  <c r="T146" i="13"/>
  <c r="T57" i="13"/>
  <c r="R162" i="13"/>
  <c r="BH111" i="13"/>
  <c r="AO149" i="13"/>
  <c r="AP52" i="13"/>
  <c r="T163" i="13"/>
  <c r="BH94" i="13"/>
  <c r="AP54" i="13"/>
  <c r="BH110" i="13"/>
  <c r="R51" i="13"/>
  <c r="BJ56" i="13"/>
  <c r="AM55" i="13"/>
  <c r="BG152" i="13"/>
  <c r="AP150" i="13"/>
  <c r="BJ163" i="13"/>
  <c r="AL164" i="13"/>
  <c r="AM168" i="13"/>
  <c r="BG167" i="13"/>
  <c r="R111" i="13"/>
  <c r="AL29" i="13"/>
  <c r="AL32" i="13"/>
  <c r="R95" i="13"/>
  <c r="AL90" i="13"/>
  <c r="Q95" i="13"/>
  <c r="BK87" i="13"/>
  <c r="BH152" i="13"/>
  <c r="AO170" i="13"/>
  <c r="AO94" i="13"/>
  <c r="BK86" i="13"/>
  <c r="BH166" i="13"/>
  <c r="AO30" i="13"/>
  <c r="AL52" i="13"/>
  <c r="BK92" i="13"/>
  <c r="BH105" i="13"/>
  <c r="AL151" i="13"/>
  <c r="R113" i="13"/>
  <c r="BJ33" i="13"/>
  <c r="BJ114" i="13"/>
  <c r="K116" i="13"/>
  <c r="BA116" i="13"/>
  <c r="BD116" i="13"/>
  <c r="T113" i="13"/>
  <c r="AP149" i="13"/>
  <c r="AM163" i="13"/>
  <c r="Q114" i="13"/>
  <c r="AV59" i="13"/>
  <c r="BK90" i="13"/>
  <c r="AL88" i="13"/>
  <c r="AO165" i="13"/>
  <c r="K173" i="13"/>
  <c r="AM105" i="13"/>
  <c r="AL113" i="13"/>
  <c r="AO167" i="13"/>
  <c r="T145" i="13"/>
  <c r="AB58" i="13"/>
  <c r="AN57" i="13"/>
  <c r="BB125" i="13"/>
  <c r="BA125" i="13"/>
  <c r="BC125" i="13"/>
  <c r="BD125" i="13"/>
  <c r="BF125" i="13"/>
  <c r="BG53" i="13"/>
  <c r="AW66" i="13"/>
  <c r="AU66" i="13"/>
  <c r="AV66" i="13"/>
  <c r="AX66" i="13"/>
  <c r="AG72" i="13"/>
  <c r="AK72" i="13"/>
  <c r="AJ72" i="13"/>
  <c r="AP72" i="13" s="1"/>
  <c r="AH72" i="13"/>
  <c r="AF72" i="13"/>
  <c r="AL72" i="13" s="1"/>
  <c r="AI72" i="13"/>
  <c r="E97" i="13"/>
  <c r="T111" i="13"/>
  <c r="AU154" i="13"/>
  <c r="BG141" i="13"/>
  <c r="AO142" i="13"/>
  <c r="I154" i="13"/>
  <c r="AT116" i="13"/>
  <c r="AX116" i="13" s="1"/>
  <c r="BF115" i="13"/>
  <c r="T47" i="13"/>
  <c r="AD115" i="13"/>
  <c r="AB133" i="13"/>
  <c r="AN133" i="13" s="1"/>
  <c r="AD133" i="13"/>
  <c r="AP133" i="13" s="1"/>
  <c r="AK133" i="13"/>
  <c r="AC133" i="13"/>
  <c r="AO133" i="13" s="1"/>
  <c r="AA133" i="13"/>
  <c r="Z133" i="13"/>
  <c r="AL133" i="13" s="1"/>
  <c r="AV173" i="13"/>
  <c r="AC39" i="13"/>
  <c r="J40" i="13"/>
  <c r="K40" i="13" s="1"/>
  <c r="K39" i="13"/>
  <c r="E68" i="13"/>
  <c r="Q68" i="13" s="1"/>
  <c r="Q87" i="13"/>
  <c r="R171" i="13"/>
  <c r="AP160" i="13"/>
  <c r="BE125" i="13"/>
  <c r="BK125" i="13" s="1"/>
  <c r="Q84" i="13"/>
  <c r="H97" i="13"/>
  <c r="H96" i="13"/>
  <c r="F154" i="13"/>
  <c r="R142" i="13"/>
  <c r="AA116" i="13"/>
  <c r="AM103" i="13"/>
  <c r="AM54" i="13"/>
  <c r="AC40" i="13"/>
  <c r="AO29" i="13"/>
  <c r="AL54" i="13"/>
  <c r="AL50" i="13"/>
  <c r="Q49" i="13"/>
  <c r="BJ46" i="13"/>
  <c r="AX59" i="13"/>
  <c r="R50" i="13"/>
  <c r="Q46" i="13"/>
  <c r="AC59" i="13"/>
  <c r="AL47" i="13"/>
  <c r="G97" i="13"/>
  <c r="AX97" i="13"/>
  <c r="AY97" i="13"/>
  <c r="AX72" i="13"/>
  <c r="L116" i="13"/>
  <c r="AP104" i="13"/>
  <c r="AW154" i="13"/>
  <c r="BI143" i="13"/>
  <c r="Q148" i="13"/>
  <c r="M173" i="13"/>
  <c r="I116" i="13"/>
  <c r="AC116" i="13"/>
  <c r="AL46" i="13"/>
  <c r="AV58" i="13"/>
  <c r="BI52" i="13"/>
  <c r="AU59" i="13"/>
  <c r="BD59" i="13"/>
  <c r="AF65" i="13"/>
  <c r="AL65" i="13" s="1"/>
  <c r="AN93" i="13"/>
  <c r="I97" i="13"/>
  <c r="R105" i="13"/>
  <c r="BG143" i="13"/>
  <c r="BJ141" i="13"/>
  <c r="AX154" i="13"/>
  <c r="O173" i="13"/>
  <c r="E173" i="13"/>
  <c r="N173" i="13"/>
  <c r="H116" i="13"/>
  <c r="AB116" i="13"/>
  <c r="AD59" i="13"/>
  <c r="AV97" i="13"/>
  <c r="F97" i="13"/>
  <c r="BB116" i="13"/>
  <c r="N116" i="13"/>
  <c r="BC116" i="13"/>
  <c r="AY154" i="13"/>
  <c r="E129" i="13"/>
  <c r="G173" i="13"/>
  <c r="AG58" i="13"/>
  <c r="K58" i="13"/>
  <c r="BH46" i="13"/>
  <c r="AW59" i="13"/>
  <c r="Z59" i="13"/>
  <c r="BE59" i="13"/>
  <c r="Z76" i="13"/>
  <c r="AY74" i="13"/>
  <c r="T84" i="13"/>
  <c r="BK103" i="13"/>
  <c r="BE116" i="13"/>
  <c r="F116" i="13"/>
  <c r="AY173" i="13"/>
  <c r="J61" i="11"/>
  <c r="D61" i="11"/>
  <c r="E61" i="11"/>
  <c r="I58" i="13"/>
  <c r="S47" i="13"/>
  <c r="AY59" i="13"/>
  <c r="BJ48" i="13"/>
  <c r="AB59" i="13"/>
  <c r="AP46" i="13"/>
  <c r="AN47" i="13"/>
  <c r="BA59" i="13"/>
  <c r="AM94" i="13"/>
  <c r="L96" i="13"/>
  <c r="BG91" i="13"/>
  <c r="AP87" i="13"/>
  <c r="BG87" i="13"/>
  <c r="AP86" i="13"/>
  <c r="AP93" i="13"/>
  <c r="P115" i="13"/>
  <c r="AN114" i="13"/>
  <c r="S109" i="13"/>
  <c r="AW115" i="13"/>
  <c r="AO110" i="13"/>
  <c r="S105" i="13"/>
  <c r="AD116" i="13"/>
  <c r="AM106" i="13"/>
  <c r="Z153" i="13"/>
  <c r="R152" i="13"/>
  <c r="AB153" i="13"/>
  <c r="E154" i="13"/>
  <c r="BJ171" i="13"/>
  <c r="BJ165" i="13"/>
  <c r="F173" i="13"/>
  <c r="R161" i="13"/>
  <c r="AL168" i="13"/>
  <c r="Q163" i="13"/>
  <c r="AB172" i="13"/>
  <c r="AK130" i="13"/>
  <c r="S168" i="13"/>
  <c r="BI162" i="13"/>
  <c r="I172" i="13"/>
  <c r="I173" i="13"/>
  <c r="K61" i="11"/>
  <c r="L173" i="13"/>
  <c r="AV40" i="13"/>
  <c r="BG38" i="13"/>
  <c r="BH36" i="13"/>
  <c r="BH37" i="13"/>
  <c r="S46" i="13"/>
  <c r="AN46" i="13"/>
  <c r="BB59" i="13"/>
  <c r="M116" i="13"/>
  <c r="G154" i="13"/>
  <c r="T133" i="13"/>
  <c r="AV172" i="13"/>
  <c r="Z172" i="13"/>
  <c r="H173" i="13"/>
  <c r="Q161" i="13"/>
  <c r="AN171" i="13"/>
  <c r="AY172" i="13"/>
  <c r="AD172" i="13"/>
  <c r="Z116" i="13"/>
  <c r="AV154" i="13"/>
  <c r="AA58" i="13"/>
  <c r="AA59" i="13"/>
  <c r="BK129" i="13"/>
  <c r="AU97" i="13"/>
  <c r="BE115" i="13"/>
  <c r="O116" i="13"/>
  <c r="T109" i="13"/>
  <c r="N115" i="13"/>
  <c r="BI111" i="13"/>
  <c r="AN106" i="13"/>
  <c r="E115" i="13"/>
  <c r="E116" i="13"/>
  <c r="H154" i="13"/>
  <c r="AO168" i="13"/>
  <c r="AX173" i="13"/>
  <c r="AU173" i="13"/>
  <c r="I61" i="11"/>
  <c r="H61" i="11"/>
  <c r="C61" i="11"/>
  <c r="O58" i="13"/>
  <c r="K132" i="13"/>
  <c r="AI127" i="13"/>
  <c r="AO127" i="13" s="1"/>
  <c r="AF128" i="13"/>
  <c r="BD126" i="13"/>
  <c r="H124" i="13"/>
  <c r="AX131" i="13"/>
  <c r="BB122" i="13"/>
  <c r="N124" i="13"/>
  <c r="AC130" i="13"/>
  <c r="AF125" i="13"/>
  <c r="N132" i="13"/>
  <c r="T132" i="13" s="1"/>
  <c r="U161" i="13"/>
  <c r="BK160" i="13"/>
  <c r="AI126" i="13"/>
  <c r="AJ126" i="13"/>
  <c r="P132" i="13"/>
  <c r="E132" i="13"/>
  <c r="AV125" i="13"/>
  <c r="AD130" i="13"/>
  <c r="AH125" i="13"/>
  <c r="AL162" i="13"/>
  <c r="AK123" i="13"/>
  <c r="AG125" i="13"/>
  <c r="BB126" i="13"/>
  <c r="AB130" i="13"/>
  <c r="AN130" i="13" s="1"/>
  <c r="BH167" i="13"/>
  <c r="Z130" i="13"/>
  <c r="AF127" i="13"/>
  <c r="I125" i="13"/>
  <c r="D134" i="13"/>
  <c r="I132" i="13"/>
  <c r="U132" i="13" s="1"/>
  <c r="AX132" i="13"/>
  <c r="BJ132" i="13" s="1"/>
  <c r="AM170" i="13"/>
  <c r="BF124" i="13"/>
  <c r="H125" i="13"/>
  <c r="T125" i="13" s="1"/>
  <c r="AC131" i="13"/>
  <c r="AO131" i="13" s="1"/>
  <c r="L132" i="13"/>
  <c r="R167" i="13"/>
  <c r="M132" i="13"/>
  <c r="BE126" i="13"/>
  <c r="BK126" i="13" s="1"/>
  <c r="AV124" i="13"/>
  <c r="AD128" i="13"/>
  <c r="I126" i="13"/>
  <c r="U126" i="13" s="1"/>
  <c r="AC128" i="13"/>
  <c r="G124" i="13"/>
  <c r="AA128" i="13"/>
  <c r="Z128" i="13"/>
  <c r="AN129" i="13"/>
  <c r="G132" i="13"/>
  <c r="BG133" i="13"/>
  <c r="AG127" i="13"/>
  <c r="BH169" i="13"/>
  <c r="AZ173" i="13"/>
  <c r="BA173" i="13" s="1"/>
  <c r="BF172" i="13"/>
  <c r="BB172" i="13"/>
  <c r="AY131" i="13"/>
  <c r="AM167" i="13"/>
  <c r="AY132" i="13"/>
  <c r="BK132" i="13" s="1"/>
  <c r="P130" i="13"/>
  <c r="BB133" i="13"/>
  <c r="BH133" i="13" s="1"/>
  <c r="N129" i="13"/>
  <c r="T129" i="13" s="1"/>
  <c r="F132" i="13"/>
  <c r="U124" i="13"/>
  <c r="BE122" i="13"/>
  <c r="BG168" i="13"/>
  <c r="AX172" i="13"/>
  <c r="R170" i="13"/>
  <c r="BK169" i="13"/>
  <c r="U170" i="13"/>
  <c r="BG171" i="13"/>
  <c r="BE172" i="13"/>
  <c r="BI163" i="13"/>
  <c r="H172" i="13"/>
  <c r="BA172" i="13"/>
  <c r="BC133" i="13"/>
  <c r="BI133" i="13" s="1"/>
  <c r="BF133" i="13"/>
  <c r="BC172" i="13"/>
  <c r="Q164" i="13"/>
  <c r="L124" i="13"/>
  <c r="R124" i="13" s="1"/>
  <c r="AE134" i="13"/>
  <c r="P129" i="13"/>
  <c r="G126" i="13"/>
  <c r="S126" i="13" s="1"/>
  <c r="BD133" i="13"/>
  <c r="BJ133" i="13" s="1"/>
  <c r="P126" i="13"/>
  <c r="AU131" i="13"/>
  <c r="K124" i="13"/>
  <c r="BH162" i="13"/>
  <c r="AF172" i="13"/>
  <c r="AL160" i="13"/>
  <c r="BG169" i="13"/>
  <c r="AP164" i="13"/>
  <c r="BD172" i="13"/>
  <c r="AW172" i="13"/>
  <c r="AL166" i="13"/>
  <c r="BK163" i="13"/>
  <c r="U167" i="13"/>
  <c r="L129" i="13"/>
  <c r="R129" i="13" s="1"/>
  <c r="AW131" i="13"/>
  <c r="BI131" i="13" s="1"/>
  <c r="P124" i="13"/>
  <c r="BK165" i="13"/>
  <c r="Y173" i="13"/>
  <c r="AD173" i="13" s="1"/>
  <c r="AA172" i="13"/>
  <c r="Q167" i="13"/>
  <c r="AN169" i="13"/>
  <c r="BI166" i="13"/>
  <c r="S164" i="13"/>
  <c r="AM161" i="13"/>
  <c r="K172" i="13"/>
  <c r="Q160" i="13"/>
  <c r="S169" i="13"/>
  <c r="AC172" i="13"/>
  <c r="AH172" i="13"/>
  <c r="K129" i="13"/>
  <c r="U162" i="13"/>
  <c r="AJ128" i="13"/>
  <c r="AF124" i="13"/>
  <c r="AL124" i="13" s="1"/>
  <c r="AZ134" i="13"/>
  <c r="AU130" i="13"/>
  <c r="BG130" i="13" s="1"/>
  <c r="O130" i="13"/>
  <c r="U130" i="13" s="1"/>
  <c r="AJ124" i="13"/>
  <c r="AP124" i="13" s="1"/>
  <c r="N130" i="13"/>
  <c r="Q133" i="13"/>
  <c r="BA122" i="13"/>
  <c r="BG122" i="13" s="1"/>
  <c r="M124" i="13"/>
  <c r="BF128" i="13"/>
  <c r="AU172" i="13"/>
  <c r="AN168" i="13"/>
  <c r="O172" i="13"/>
  <c r="U160" i="13"/>
  <c r="U163" i="13"/>
  <c r="BH164" i="13"/>
  <c r="N172" i="13"/>
  <c r="T160" i="13"/>
  <c r="BJ161" i="13"/>
  <c r="S167" i="13"/>
  <c r="AP169" i="13"/>
  <c r="BK166" i="13"/>
  <c r="U164" i="13"/>
  <c r="S161" i="13"/>
  <c r="U169" i="13"/>
  <c r="BI160" i="13"/>
  <c r="E172" i="13"/>
  <c r="BF130" i="13"/>
  <c r="K127" i="13"/>
  <c r="F123" i="13"/>
  <c r="AX130" i="13"/>
  <c r="BJ130" i="13" s="1"/>
  <c r="P127" i="13"/>
  <c r="L130" i="13"/>
  <c r="F126" i="13"/>
  <c r="R126" i="13" s="1"/>
  <c r="AV132" i="13"/>
  <c r="BH132" i="13" s="1"/>
  <c r="BH131" i="13"/>
  <c r="BC122" i="13"/>
  <c r="AP171" i="13"/>
  <c r="BI165" i="13"/>
  <c r="AK172" i="13"/>
  <c r="AE173" i="13"/>
  <c r="AI173" i="13" s="1"/>
  <c r="G172" i="13"/>
  <c r="F172" i="13"/>
  <c r="AN161" i="13"/>
  <c r="R169" i="13"/>
  <c r="AM166" i="13"/>
  <c r="BH163" i="13"/>
  <c r="P172" i="13"/>
  <c r="BK161" i="13"/>
  <c r="M172" i="13"/>
  <c r="S160" i="13"/>
  <c r="AG172" i="13"/>
  <c r="AM160" i="13"/>
  <c r="BF131" i="13"/>
  <c r="U133" i="13"/>
  <c r="BF122" i="13"/>
  <c r="M130" i="13"/>
  <c r="BF127" i="13"/>
  <c r="AJ172" i="13"/>
  <c r="AI172" i="13"/>
  <c r="AO160" i="13"/>
  <c r="AO161" i="13"/>
  <c r="BH171" i="13"/>
  <c r="L172" i="13"/>
  <c r="R160" i="13"/>
  <c r="BG163" i="13"/>
  <c r="P173" i="13"/>
  <c r="L128" i="13"/>
  <c r="R128" i="13" s="1"/>
  <c r="K128" i="13"/>
  <c r="Q128" i="13" s="1"/>
  <c r="BA153" i="13"/>
  <c r="AC132" i="13"/>
  <c r="AD132" i="13"/>
  <c r="Z132" i="13"/>
  <c r="AF130" i="13"/>
  <c r="AI130" i="13"/>
  <c r="M128" i="13"/>
  <c r="S128" i="13" s="1"/>
  <c r="P128" i="13"/>
  <c r="N128" i="13"/>
  <c r="T128" i="13" s="1"/>
  <c r="AW126" i="13"/>
  <c r="AM122" i="13"/>
  <c r="Z129" i="13"/>
  <c r="AL129" i="13" s="1"/>
  <c r="AT134" i="13"/>
  <c r="AY134" i="13" s="1"/>
  <c r="BC153" i="13"/>
  <c r="BF126" i="13"/>
  <c r="AN142" i="13"/>
  <c r="BC128" i="13"/>
  <c r="BE128" i="13"/>
  <c r="BK128" i="13" s="1"/>
  <c r="AM151" i="13"/>
  <c r="BA131" i="13"/>
  <c r="BD131" i="13"/>
  <c r="AA125" i="13"/>
  <c r="AC125" i="13"/>
  <c r="AO125" i="13" s="1"/>
  <c r="AB125" i="13"/>
  <c r="AA132" i="13"/>
  <c r="Y134" i="13"/>
  <c r="AD134" i="13" s="1"/>
  <c r="AD129" i="13"/>
  <c r="AX128" i="13"/>
  <c r="AW128" i="13"/>
  <c r="AU128" i="13"/>
  <c r="BG128" i="13" s="1"/>
  <c r="AV128" i="13"/>
  <c r="AU126" i="13"/>
  <c r="BG126" i="13" s="1"/>
  <c r="AI124" i="13"/>
  <c r="AO124" i="13" s="1"/>
  <c r="AG124" i="13"/>
  <c r="AM124" i="13" s="1"/>
  <c r="BB129" i="13"/>
  <c r="BH129" i="13" s="1"/>
  <c r="BD129" i="13"/>
  <c r="BJ129" i="13" s="1"/>
  <c r="AC129" i="13"/>
  <c r="Z122" i="13"/>
  <c r="AU132" i="13"/>
  <c r="BG132" i="13" s="1"/>
  <c r="AW132" i="13"/>
  <c r="BI132" i="13" s="1"/>
  <c r="AK132" i="13"/>
  <c r="AB122" i="13"/>
  <c r="AW127" i="13"/>
  <c r="BI127" i="13" s="1"/>
  <c r="AX127" i="13"/>
  <c r="BJ127" i="13" s="1"/>
  <c r="AU127" i="13"/>
  <c r="AY127" i="13"/>
  <c r="M127" i="13"/>
  <c r="L127" i="13"/>
  <c r="N127" i="13"/>
  <c r="AP131" i="13"/>
  <c r="Z125" i="13"/>
  <c r="AC122" i="13"/>
  <c r="AB126" i="13"/>
  <c r="AD126" i="13"/>
  <c r="AA126" i="13"/>
  <c r="AM126" i="13" s="1"/>
  <c r="AC126" i="13"/>
  <c r="Z126" i="13"/>
  <c r="AL126" i="13" s="1"/>
  <c r="BH150" i="13"/>
  <c r="AK125" i="13"/>
  <c r="BK147" i="13"/>
  <c r="BD153" i="13"/>
  <c r="AJ153" i="13"/>
  <c r="AP141" i="13"/>
  <c r="P122" i="13"/>
  <c r="O122" i="13"/>
  <c r="M122" i="13"/>
  <c r="K122" i="13"/>
  <c r="BE153" i="13"/>
  <c r="AU153" i="13"/>
  <c r="AL147" i="13"/>
  <c r="Q143" i="13"/>
  <c r="AV153" i="13"/>
  <c r="AP125" i="13"/>
  <c r="L131" i="13"/>
  <c r="R131" i="13" s="1"/>
  <c r="Q152" i="13"/>
  <c r="AN145" i="13"/>
  <c r="AP143" i="13"/>
  <c r="Y154" i="13"/>
  <c r="Z154" i="13" s="1"/>
  <c r="AA153" i="13"/>
  <c r="U148" i="13"/>
  <c r="R150" i="13"/>
  <c r="P125" i="13"/>
  <c r="M125" i="13"/>
  <c r="AD153" i="13"/>
  <c r="BK144" i="13"/>
  <c r="AK153" i="13"/>
  <c r="AE154" i="13"/>
  <c r="AG154" i="13" s="1"/>
  <c r="M153" i="13"/>
  <c r="S141" i="13"/>
  <c r="E153" i="13"/>
  <c r="AN147" i="13"/>
  <c r="AZ154" i="13"/>
  <c r="BD154" i="13" s="1"/>
  <c r="BF153" i="13"/>
  <c r="BB153" i="13"/>
  <c r="BI145" i="13"/>
  <c r="F153" i="13"/>
  <c r="BG150" i="13"/>
  <c r="S148" i="13"/>
  <c r="BH144" i="13"/>
  <c r="R145" i="13"/>
  <c r="AF153" i="13"/>
  <c r="AL141" i="13"/>
  <c r="O153" i="13"/>
  <c r="U141" i="13"/>
  <c r="G153" i="13"/>
  <c r="AX153" i="13"/>
  <c r="U127" i="13"/>
  <c r="K131" i="13"/>
  <c r="Q131" i="13" s="1"/>
  <c r="R144" i="13"/>
  <c r="AK129" i="13"/>
  <c r="AA129" i="13"/>
  <c r="AM129" i="13" s="1"/>
  <c r="AL149" i="13"/>
  <c r="BG151" i="13"/>
  <c r="BK142" i="13"/>
  <c r="BI150" i="13"/>
  <c r="AP148" i="13"/>
  <c r="Q145" i="13"/>
  <c r="AW153" i="13"/>
  <c r="BI141" i="13"/>
  <c r="AG153" i="13"/>
  <c r="AM141" i="13"/>
  <c r="E122" i="13"/>
  <c r="H122" i="13"/>
  <c r="I122" i="13"/>
  <c r="G122" i="13"/>
  <c r="AM147" i="13"/>
  <c r="L122" i="13"/>
  <c r="R122" i="13" s="1"/>
  <c r="N131" i="13"/>
  <c r="AN149" i="13"/>
  <c r="BG146" i="13"/>
  <c r="AL146" i="13"/>
  <c r="BG148" i="13"/>
  <c r="T150" i="13"/>
  <c r="AL148" i="13"/>
  <c r="AY153" i="13"/>
  <c r="S145" i="13"/>
  <c r="Q150" i="13"/>
  <c r="BJ144" i="13"/>
  <c r="AH153" i="13"/>
  <c r="AN141" i="13"/>
  <c r="J154" i="13"/>
  <c r="P154" i="13" s="1"/>
  <c r="P153" i="13"/>
  <c r="H153" i="13"/>
  <c r="N153" i="13"/>
  <c r="T141" i="13"/>
  <c r="O131" i="13"/>
  <c r="U131" i="13" s="1"/>
  <c r="BK149" i="13"/>
  <c r="Q144" i="13"/>
  <c r="S149" i="13"/>
  <c r="AN146" i="13"/>
  <c r="Q151" i="13"/>
  <c r="AL150" i="13"/>
  <c r="BG147" i="13"/>
  <c r="U145" i="13"/>
  <c r="AK126" i="13"/>
  <c r="AH126" i="13"/>
  <c r="S150" i="13"/>
  <c r="AX126" i="13"/>
  <c r="AV126" i="13"/>
  <c r="AD123" i="13"/>
  <c r="Z123" i="13"/>
  <c r="AL123" i="13" s="1"/>
  <c r="AC123" i="13"/>
  <c r="AB123" i="13"/>
  <c r="AN123" i="13" s="1"/>
  <c r="L153" i="13"/>
  <c r="R141" i="13"/>
  <c r="AI153" i="13"/>
  <c r="AO141" i="13"/>
  <c r="AC153" i="13"/>
  <c r="BK141" i="13"/>
  <c r="I153" i="13"/>
  <c r="AI128" i="13"/>
  <c r="AG128" i="13"/>
  <c r="S143" i="13"/>
  <c r="H123" i="13"/>
  <c r="E123" i="13"/>
  <c r="I123" i="13"/>
  <c r="U123" i="13" s="1"/>
  <c r="G123" i="13"/>
  <c r="Q126" i="13"/>
  <c r="N122" i="13"/>
  <c r="M131" i="13"/>
  <c r="S131" i="13" s="1"/>
  <c r="J134" i="13"/>
  <c r="BG149" i="13"/>
  <c r="AP145" i="13"/>
  <c r="AP146" i="13"/>
  <c r="BJ152" i="13"/>
  <c r="E130" i="13"/>
  <c r="Q130" i="13" s="1"/>
  <c r="H130" i="13"/>
  <c r="G130" i="13"/>
  <c r="F130" i="13"/>
  <c r="AN150" i="13"/>
  <c r="BI147" i="13"/>
  <c r="U150" i="13"/>
  <c r="BG144" i="13"/>
  <c r="AF122" i="13"/>
  <c r="AK122" i="13"/>
  <c r="AI122" i="13"/>
  <c r="AJ122" i="13"/>
  <c r="AH122" i="13"/>
  <c r="K153" i="13"/>
  <c r="Q141" i="13"/>
  <c r="AO147" i="13"/>
  <c r="BB115" i="13"/>
  <c r="AU72" i="13"/>
  <c r="P72" i="13"/>
  <c r="L69" i="13"/>
  <c r="AM104" i="13"/>
  <c r="AL67" i="13"/>
  <c r="AW72" i="13"/>
  <c r="F115" i="13"/>
  <c r="P67" i="13"/>
  <c r="E65" i="13"/>
  <c r="AJ70" i="13"/>
  <c r="AV70" i="13"/>
  <c r="G67" i="13"/>
  <c r="S67" i="13" s="1"/>
  <c r="AC75" i="13"/>
  <c r="AO75" i="13" s="1"/>
  <c r="AX71" i="13"/>
  <c r="AV71" i="13"/>
  <c r="F72" i="13"/>
  <c r="R72" i="13" s="1"/>
  <c r="R107" i="13"/>
  <c r="AO112" i="13"/>
  <c r="BI105" i="13"/>
  <c r="G72" i="13"/>
  <c r="S72" i="13" s="1"/>
  <c r="AY71" i="13"/>
  <c r="BF72" i="13"/>
  <c r="H72" i="13"/>
  <c r="AW71" i="13"/>
  <c r="BI71" i="13" s="1"/>
  <c r="Q103" i="13"/>
  <c r="F69" i="13"/>
  <c r="AF70" i="13"/>
  <c r="I67" i="13"/>
  <c r="U67" i="13" s="1"/>
  <c r="AA75" i="13"/>
  <c r="AM75" i="13" s="1"/>
  <c r="P69" i="13"/>
  <c r="O69" i="13"/>
  <c r="J77" i="13"/>
  <c r="BB66" i="13"/>
  <c r="BC66" i="13"/>
  <c r="G115" i="13"/>
  <c r="Q112" i="13"/>
  <c r="AU73" i="13"/>
  <c r="BG73" i="13" s="1"/>
  <c r="K74" i="13"/>
  <c r="Q74" i="13" s="1"/>
  <c r="AJ74" i="13"/>
  <c r="BE69" i="13"/>
  <c r="BK69" i="13" s="1"/>
  <c r="BG76" i="13"/>
  <c r="AM71" i="13"/>
  <c r="BC67" i="13"/>
  <c r="Z73" i="13"/>
  <c r="AL73" i="13" s="1"/>
  <c r="BB65" i="13"/>
  <c r="BE72" i="13"/>
  <c r="BK72" i="13" s="1"/>
  <c r="H67" i="13"/>
  <c r="T67" i="13" s="1"/>
  <c r="BH76" i="13"/>
  <c r="AH70" i="13"/>
  <c r="AX70" i="13"/>
  <c r="BD69" i="13"/>
  <c r="BJ69" i="13" s="1"/>
  <c r="S103" i="13"/>
  <c r="U106" i="13"/>
  <c r="BJ103" i="13"/>
  <c r="BD115" i="13"/>
  <c r="T105" i="13"/>
  <c r="S107" i="13"/>
  <c r="BG104" i="13"/>
  <c r="AL111" i="13"/>
  <c r="AI115" i="13"/>
  <c r="AO103" i="13"/>
  <c r="AP112" i="13"/>
  <c r="S112" i="13"/>
  <c r="AW73" i="13"/>
  <c r="O71" i="13"/>
  <c r="AJ67" i="13"/>
  <c r="AA65" i="13"/>
  <c r="G65" i="13"/>
  <c r="AC69" i="13"/>
  <c r="E72" i="13"/>
  <c r="Q72" i="13" s="1"/>
  <c r="AX115" i="13"/>
  <c r="AV115" i="13"/>
  <c r="AJ115" i="13"/>
  <c r="AP103" i="13"/>
  <c r="BC115" i="13"/>
  <c r="BI103" i="13"/>
  <c r="M115" i="13"/>
  <c r="AA115" i="13"/>
  <c r="Q105" i="13"/>
  <c r="R112" i="13"/>
  <c r="U112" i="13"/>
  <c r="AK71" i="13"/>
  <c r="K115" i="13"/>
  <c r="AC115" i="13"/>
  <c r="AB115" i="13"/>
  <c r="U109" i="13"/>
  <c r="AU115" i="13"/>
  <c r="AO106" i="13"/>
  <c r="BA115" i="13"/>
  <c r="BG103" i="13"/>
  <c r="AY115" i="13"/>
  <c r="AF71" i="13"/>
  <c r="BA72" i="13"/>
  <c r="E67" i="13"/>
  <c r="AB76" i="13"/>
  <c r="AD69" i="13"/>
  <c r="AI74" i="13"/>
  <c r="AY70" i="13"/>
  <c r="AJ71" i="13"/>
  <c r="AI67" i="13"/>
  <c r="AH71" i="13"/>
  <c r="AK76" i="13"/>
  <c r="BG67" i="13"/>
  <c r="AU70" i="13"/>
  <c r="BG70" i="13" s="1"/>
  <c r="AK115" i="13"/>
  <c r="AE116" i="13"/>
  <c r="AI116" i="13" s="1"/>
  <c r="I115" i="13"/>
  <c r="U103" i="13"/>
  <c r="AG115" i="13"/>
  <c r="BI114" i="13"/>
  <c r="AN110" i="13"/>
  <c r="H115" i="13"/>
  <c r="Q106" i="13"/>
  <c r="AH115" i="13"/>
  <c r="AN103" i="13"/>
  <c r="AC76" i="13"/>
  <c r="AO76" i="13" s="1"/>
  <c r="AI71" i="13"/>
  <c r="AG65" i="13"/>
  <c r="BF71" i="13"/>
  <c r="BA69" i="13"/>
  <c r="BG69" i="13" s="1"/>
  <c r="U111" i="13"/>
  <c r="BK108" i="13"/>
  <c r="BG108" i="13"/>
  <c r="BK112" i="13"/>
  <c r="BG109" i="13"/>
  <c r="S108" i="13"/>
  <c r="Z115" i="13"/>
  <c r="BH103" i="13"/>
  <c r="AF74" i="13"/>
  <c r="AB67" i="13"/>
  <c r="AN67" i="13" s="1"/>
  <c r="AZ77" i="13"/>
  <c r="AK74" i="13"/>
  <c r="AP107" i="13"/>
  <c r="L115" i="13"/>
  <c r="Q110" i="13"/>
  <c r="AF115" i="13"/>
  <c r="BG112" i="13"/>
  <c r="BI109" i="13"/>
  <c r="AP110" i="13"/>
  <c r="U108" i="13"/>
  <c r="AP105" i="13"/>
  <c r="BA71" i="13"/>
  <c r="BG71" i="13" s="1"/>
  <c r="AM74" i="13"/>
  <c r="AV74" i="13"/>
  <c r="BH74" i="13" s="1"/>
  <c r="D77" i="13"/>
  <c r="BK113" i="13"/>
  <c r="BG106" i="13"/>
  <c r="AL107" i="13"/>
  <c r="BI112" i="13"/>
  <c r="AL112" i="13"/>
  <c r="O115" i="13"/>
  <c r="M74" i="13"/>
  <c r="O75" i="13"/>
  <c r="G71" i="13"/>
  <c r="AD74" i="13"/>
  <c r="AB74" i="13"/>
  <c r="AN74" i="13" s="1"/>
  <c r="AC74" i="13"/>
  <c r="Z74" i="13"/>
  <c r="AW75" i="13"/>
  <c r="AX75" i="13"/>
  <c r="BJ75" i="13" s="1"/>
  <c r="AV75" i="13"/>
  <c r="M71" i="13"/>
  <c r="AI65" i="13"/>
  <c r="H71" i="13"/>
  <c r="AY75" i="13"/>
  <c r="O73" i="13"/>
  <c r="N73" i="13"/>
  <c r="T73" i="13" s="1"/>
  <c r="P73" i="13"/>
  <c r="M73" i="13"/>
  <c r="S73" i="13" s="1"/>
  <c r="BH91" i="13"/>
  <c r="BF65" i="13"/>
  <c r="BE65" i="13"/>
  <c r="BK65" i="13" s="1"/>
  <c r="BD65" i="13"/>
  <c r="P74" i="13"/>
  <c r="O74" i="13"/>
  <c r="U87" i="13"/>
  <c r="R91" i="13"/>
  <c r="AC67" i="13"/>
  <c r="AA67" i="13"/>
  <c r="AD67" i="13"/>
  <c r="AM86" i="13"/>
  <c r="K75" i="13"/>
  <c r="Q75" i="13" s="1"/>
  <c r="N75" i="13"/>
  <c r="T75" i="13" s="1"/>
  <c r="Y77" i="13"/>
  <c r="R93" i="13"/>
  <c r="L74" i="13"/>
  <c r="P71" i="13"/>
  <c r="AH65" i="13"/>
  <c r="P66" i="13"/>
  <c r="BD71" i="13"/>
  <c r="AC71" i="13"/>
  <c r="AB71" i="13"/>
  <c r="AD71" i="13"/>
  <c r="I71" i="13"/>
  <c r="AK65" i="13"/>
  <c r="AA73" i="13"/>
  <c r="AM73" i="13" s="1"/>
  <c r="L75" i="13"/>
  <c r="R75" i="13" s="1"/>
  <c r="AD75" i="13"/>
  <c r="AB75" i="13"/>
  <c r="L65" i="13"/>
  <c r="M65" i="13"/>
  <c r="K65" i="13"/>
  <c r="AA96" i="13"/>
  <c r="AG67" i="13"/>
  <c r="AK67" i="13"/>
  <c r="AY73" i="13"/>
  <c r="AV73" i="13"/>
  <c r="AB65" i="13"/>
  <c r="AD65" i="13"/>
  <c r="AP65" i="13" s="1"/>
  <c r="AC65" i="13"/>
  <c r="AC73" i="13"/>
  <c r="AO73" i="13" s="1"/>
  <c r="BB71" i="13"/>
  <c r="AB73" i="13"/>
  <c r="AN73" i="13" s="1"/>
  <c r="AT77" i="13"/>
  <c r="AY77" i="13" s="1"/>
  <c r="BE71" i="13"/>
  <c r="BE75" i="13"/>
  <c r="BF75" i="13"/>
  <c r="BC75" i="13"/>
  <c r="L76" i="13"/>
  <c r="M76" i="13"/>
  <c r="S76" i="13" s="1"/>
  <c r="K76" i="13"/>
  <c r="R89" i="13"/>
  <c r="AK75" i="13"/>
  <c r="AJ69" i="13"/>
  <c r="AK69" i="13"/>
  <c r="AI69" i="13"/>
  <c r="AH69" i="13"/>
  <c r="AF69" i="13"/>
  <c r="AL69" i="13" s="1"/>
  <c r="AI66" i="13"/>
  <c r="AF66" i="13"/>
  <c r="AL66" i="13" s="1"/>
  <c r="AG66" i="13"/>
  <c r="AJ66" i="13"/>
  <c r="AP66" i="13" s="1"/>
  <c r="AH66" i="13"/>
  <c r="AE97" i="13"/>
  <c r="AJ97" i="13" s="1"/>
  <c r="AK96" i="13"/>
  <c r="AG96" i="13"/>
  <c r="Q89" i="13"/>
  <c r="AI96" i="13"/>
  <c r="AO84" i="13"/>
  <c r="AU96" i="13"/>
  <c r="AM84" i="13"/>
  <c r="AZ97" i="13"/>
  <c r="BB97" i="13" s="1"/>
  <c r="BF96" i="13"/>
  <c r="BD96" i="13"/>
  <c r="BB96" i="13"/>
  <c r="BJ76" i="13"/>
  <c r="BH84" i="13"/>
  <c r="AC96" i="13"/>
  <c r="AD70" i="13"/>
  <c r="AC70" i="13"/>
  <c r="AO70" i="13" s="1"/>
  <c r="AB70" i="13"/>
  <c r="AA70" i="13"/>
  <c r="Z70" i="13"/>
  <c r="AY96" i="13"/>
  <c r="AX74" i="13"/>
  <c r="BJ74" i="13" s="1"/>
  <c r="AU74" i="13"/>
  <c r="BF74" i="13"/>
  <c r="U89" i="13"/>
  <c r="S92" i="13"/>
  <c r="U84" i="13"/>
  <c r="I69" i="13"/>
  <c r="N96" i="13"/>
  <c r="AG69" i="13"/>
  <c r="BI95" i="13"/>
  <c r="BH95" i="13"/>
  <c r="BI86" i="13"/>
  <c r="AE77" i="13"/>
  <c r="AJ77" i="13" s="1"/>
  <c r="G96" i="13"/>
  <c r="S84" i="13"/>
  <c r="AK70" i="13"/>
  <c r="AF96" i="13"/>
  <c r="AL84" i="13"/>
  <c r="AX96" i="13"/>
  <c r="AU68" i="13"/>
  <c r="AY68" i="13"/>
  <c r="BK68" i="13" s="1"/>
  <c r="AX68" i="13"/>
  <c r="K96" i="13"/>
  <c r="J97" i="13"/>
  <c r="L97" i="13" s="1"/>
  <c r="P96" i="13"/>
  <c r="O96" i="13"/>
  <c r="Q90" i="13"/>
  <c r="F96" i="13"/>
  <c r="AV96" i="13"/>
  <c r="AJ96" i="13"/>
  <c r="AP84" i="13"/>
  <c r="I96" i="13"/>
  <c r="Z96" i="13"/>
  <c r="AW96" i="13"/>
  <c r="AL75" i="13"/>
  <c r="F74" i="13"/>
  <c r="BG89" i="13"/>
  <c r="AP91" i="13"/>
  <c r="AM89" i="13"/>
  <c r="E96" i="13"/>
  <c r="AB96" i="13"/>
  <c r="AN85" i="13"/>
  <c r="AL94" i="13"/>
  <c r="U90" i="13"/>
  <c r="Q92" i="13"/>
  <c r="BG95" i="13"/>
  <c r="BA96" i="13"/>
  <c r="BG84" i="13"/>
  <c r="M96" i="13"/>
  <c r="Y97" i="13"/>
  <c r="AC97" i="13" s="1"/>
  <c r="AD96" i="13"/>
  <c r="AP94" i="13"/>
  <c r="R92" i="13"/>
  <c r="BK84" i="13"/>
  <c r="BE96" i="13"/>
  <c r="BI76" i="13"/>
  <c r="R73" i="13"/>
  <c r="U94" i="13"/>
  <c r="BG90" i="13"/>
  <c r="BC96" i="13"/>
  <c r="BI84" i="13"/>
  <c r="AH96" i="13"/>
  <c r="AN84" i="13"/>
  <c r="N71" i="13"/>
  <c r="L71" i="13"/>
  <c r="R71" i="13" s="1"/>
  <c r="K71" i="13"/>
  <c r="I66" i="13"/>
  <c r="U66" i="13" s="1"/>
  <c r="G66" i="13"/>
  <c r="F66" i="13"/>
  <c r="E66" i="13"/>
  <c r="Q66" i="13" s="1"/>
  <c r="AM123" i="13"/>
  <c r="BK123" i="13"/>
  <c r="U65" i="13"/>
  <c r="Z58" i="13"/>
  <c r="R48" i="13"/>
  <c r="BI46" i="13"/>
  <c r="E58" i="13"/>
  <c r="U48" i="13"/>
  <c r="BH48" i="13"/>
  <c r="Q48" i="13"/>
  <c r="U46" i="13"/>
  <c r="BH56" i="13"/>
  <c r="R54" i="13"/>
  <c r="BK46" i="13"/>
  <c r="BG46" i="13"/>
  <c r="AD58" i="13"/>
  <c r="AN53" i="13"/>
  <c r="AH58" i="13"/>
  <c r="G58" i="13"/>
  <c r="U51" i="13"/>
  <c r="H58" i="13"/>
  <c r="AL49" i="13"/>
  <c r="BB58" i="13"/>
  <c r="AW58" i="13"/>
  <c r="J59" i="13"/>
  <c r="O59" i="13" s="1"/>
  <c r="P58" i="13"/>
  <c r="M58" i="13"/>
  <c r="T53" i="13"/>
  <c r="BH50" i="13"/>
  <c r="BC58" i="13"/>
  <c r="Q56" i="13"/>
  <c r="AO50" i="13"/>
  <c r="BF59" i="13"/>
  <c r="R56" i="13"/>
  <c r="AX58" i="13"/>
  <c r="BA58" i="13"/>
  <c r="BI51" i="13"/>
  <c r="AC58" i="13"/>
  <c r="S53" i="13"/>
  <c r="BG57" i="13"/>
  <c r="AM56" i="13"/>
  <c r="S50" i="13"/>
  <c r="T46" i="13"/>
  <c r="N58" i="13"/>
  <c r="S52" i="13"/>
  <c r="AM47" i="13"/>
  <c r="AE59" i="13"/>
  <c r="AI59" i="13" s="1"/>
  <c r="AK58" i="13"/>
  <c r="AI58" i="13"/>
  <c r="AF58" i="13"/>
  <c r="BD58" i="13"/>
  <c r="AU58" i="13"/>
  <c r="U52" i="13"/>
  <c r="L58" i="13"/>
  <c r="R46" i="13"/>
  <c r="AY58" i="13"/>
  <c r="AN49" i="13"/>
  <c r="D59" i="13"/>
  <c r="G59" i="13" s="1"/>
  <c r="F58" i="13"/>
  <c r="S55" i="13"/>
  <c r="AJ58" i="13"/>
  <c r="BI50" i="13"/>
  <c r="BG51" i="13"/>
  <c r="AN55" i="13"/>
  <c r="Q52" i="13"/>
  <c r="S49" i="13"/>
  <c r="AU40" i="13"/>
  <c r="AX40" i="13"/>
  <c r="AW40" i="13"/>
  <c r="AY40" i="13"/>
  <c r="BH31" i="13"/>
  <c r="BJ32" i="13"/>
  <c r="BJ28" i="13"/>
  <c r="BG29" i="13"/>
  <c r="BG37" i="13"/>
  <c r="AY39" i="13"/>
  <c r="BJ30" i="13"/>
  <c r="BH28" i="13"/>
  <c r="BD39" i="13"/>
  <c r="BJ27" i="13"/>
  <c r="BI38" i="13"/>
  <c r="BK36" i="13"/>
  <c r="AW39" i="13"/>
  <c r="AX39" i="13"/>
  <c r="AV39" i="13"/>
  <c r="BA39" i="13"/>
  <c r="BG27" i="13"/>
  <c r="AZ40" i="13"/>
  <c r="BD40" i="13" s="1"/>
  <c r="BF39" i="13"/>
  <c r="BG30" i="13"/>
  <c r="BJ37" i="13"/>
  <c r="BJ29" i="13"/>
  <c r="BI29" i="13"/>
  <c r="AU39" i="13"/>
  <c r="BJ34" i="13"/>
  <c r="BG31" i="13"/>
  <c r="BH34" i="13"/>
  <c r="BG34" i="13"/>
  <c r="BK27" i="13"/>
  <c r="BC39" i="13"/>
  <c r="BI27" i="13"/>
  <c r="BH35" i="13"/>
  <c r="BI30" i="13"/>
  <c r="BI33" i="13"/>
  <c r="BK28" i="13"/>
  <c r="BE39" i="13"/>
  <c r="BB39" i="13"/>
  <c r="AL36" i="13"/>
  <c r="AP34" i="13"/>
  <c r="AB40" i="13"/>
  <c r="Z40" i="13"/>
  <c r="AA40" i="13"/>
  <c r="AD40" i="13"/>
  <c r="AL35" i="13"/>
  <c r="AL34" i="13"/>
  <c r="AB39" i="13"/>
  <c r="AG39" i="13"/>
  <c r="AM27" i="13"/>
  <c r="AN34" i="13"/>
  <c r="AM29" i="13"/>
  <c r="AM30" i="13"/>
  <c r="AN33" i="13"/>
  <c r="AP28" i="13"/>
  <c r="AE40" i="13"/>
  <c r="AK39" i="13"/>
  <c r="AL38" i="13"/>
  <c r="AM33" i="13"/>
  <c r="AJ39" i="13"/>
  <c r="AH39" i="13"/>
  <c r="AN27" i="13"/>
  <c r="AN38" i="13"/>
  <c r="AM38" i="13"/>
  <c r="AN37" i="13"/>
  <c r="AP32" i="13"/>
  <c r="AD39" i="13"/>
  <c r="Z39" i="13"/>
  <c r="AO38" i="13"/>
  <c r="AF39" i="13"/>
  <c r="AL27" i="13"/>
  <c r="AM34" i="13"/>
  <c r="AM37" i="13"/>
  <c r="AA39" i="13"/>
  <c r="AO37" i="13"/>
  <c r="AO33" i="13"/>
  <c r="AP36" i="13"/>
  <c r="AI39" i="13"/>
  <c r="AL31" i="13"/>
  <c r="AL30" i="13"/>
  <c r="N39" i="13"/>
  <c r="L39" i="13"/>
  <c r="O39" i="13"/>
  <c r="M39" i="13"/>
  <c r="BI122" i="13" l="1"/>
  <c r="AP73" i="13"/>
  <c r="Q124" i="13"/>
  <c r="U129" i="13"/>
  <c r="BH124" i="13"/>
  <c r="BG124" i="13"/>
  <c r="S125" i="13"/>
  <c r="AL127" i="13"/>
  <c r="T69" i="13"/>
  <c r="AP123" i="13"/>
  <c r="T65" i="13"/>
  <c r="BH59" i="13"/>
  <c r="BK127" i="13"/>
  <c r="AO129" i="13"/>
  <c r="AN153" i="13"/>
  <c r="AG134" i="13"/>
  <c r="AJ134" i="13"/>
  <c r="AP134" i="13" s="1"/>
  <c r="Q69" i="13"/>
  <c r="AZ78" i="13"/>
  <c r="BC78" i="13" s="1"/>
  <c r="BE77" i="13"/>
  <c r="N134" i="13"/>
  <c r="O134" i="13"/>
  <c r="F134" i="13"/>
  <c r="I134" i="13"/>
  <c r="AH134" i="13"/>
  <c r="D78" i="13"/>
  <c r="I77" i="13"/>
  <c r="BD134" i="13"/>
  <c r="BE134" i="13"/>
  <c r="AI134" i="13"/>
  <c r="Z77" i="13"/>
  <c r="AD77" i="13"/>
  <c r="N77" i="13"/>
  <c r="O77" i="13"/>
  <c r="BK122" i="13"/>
  <c r="BJ124" i="13"/>
  <c r="AE135" i="13"/>
  <c r="AF134" i="13"/>
  <c r="AP129" i="13"/>
  <c r="AM132" i="13"/>
  <c r="AM133" i="13"/>
  <c r="BI123" i="13"/>
  <c r="S123" i="13"/>
  <c r="T127" i="13"/>
  <c r="AO132" i="13"/>
  <c r="R123" i="13"/>
  <c r="AP122" i="13"/>
  <c r="BH128" i="13"/>
  <c r="Q127" i="13"/>
  <c r="BK124" i="13"/>
  <c r="BK131" i="13"/>
  <c r="BI125" i="13"/>
  <c r="T123" i="13"/>
  <c r="BG127" i="13"/>
  <c r="BH122" i="13"/>
  <c r="BH123" i="13"/>
  <c r="R66" i="13"/>
  <c r="BG68" i="13"/>
  <c r="U68" i="13"/>
  <c r="BI69" i="13"/>
  <c r="R65" i="13"/>
  <c r="T96" i="13"/>
  <c r="AM70" i="13"/>
  <c r="S66" i="13"/>
  <c r="U75" i="13"/>
  <c r="AM72" i="13"/>
  <c r="S70" i="13"/>
  <c r="BI73" i="13"/>
  <c r="AN75" i="13"/>
  <c r="T72" i="13"/>
  <c r="U70" i="13"/>
  <c r="Q70" i="13"/>
  <c r="AO68" i="13"/>
  <c r="BJ128" i="13"/>
  <c r="Q123" i="13"/>
  <c r="AL132" i="13"/>
  <c r="AM127" i="13"/>
  <c r="AN127" i="13"/>
  <c r="U125" i="13"/>
  <c r="R127" i="13"/>
  <c r="S127" i="13"/>
  <c r="T70" i="13"/>
  <c r="AP75" i="13"/>
  <c r="BI68" i="13"/>
  <c r="AN66" i="13"/>
  <c r="AL76" i="13"/>
  <c r="BH75" i="13"/>
  <c r="BH67" i="13"/>
  <c r="AN69" i="13"/>
  <c r="AN68" i="13"/>
  <c r="U74" i="13"/>
  <c r="BH73" i="13"/>
  <c r="BI59" i="13"/>
  <c r="Q73" i="13"/>
  <c r="BG72" i="13"/>
  <c r="AN72" i="13"/>
  <c r="T131" i="13"/>
  <c r="BH66" i="13"/>
  <c r="AP132" i="13"/>
  <c r="BI72" i="13"/>
  <c r="R125" i="13"/>
  <c r="AM69" i="13"/>
  <c r="BJ116" i="13"/>
  <c r="AL71" i="13"/>
  <c r="BI126" i="13"/>
  <c r="AY116" i="13"/>
  <c r="BK116" i="13" s="1"/>
  <c r="AU116" i="13"/>
  <c r="BG116" i="13" s="1"/>
  <c r="AN58" i="13"/>
  <c r="BI66" i="13"/>
  <c r="BK73" i="13"/>
  <c r="BK70" i="13"/>
  <c r="BJ70" i="13"/>
  <c r="BJ125" i="13"/>
  <c r="BK71" i="13"/>
  <c r="BJ72" i="13"/>
  <c r="BG125" i="13"/>
  <c r="R76" i="13"/>
  <c r="U73" i="13"/>
  <c r="Q67" i="13"/>
  <c r="AO72" i="13"/>
  <c r="Z134" i="13"/>
  <c r="BG74" i="13"/>
  <c r="S65" i="13"/>
  <c r="BH65" i="13"/>
  <c r="AP68" i="13"/>
  <c r="BB77" i="13"/>
  <c r="AN125" i="13"/>
  <c r="AP130" i="13"/>
  <c r="BJ65" i="13"/>
  <c r="F78" i="13"/>
  <c r="BJ68" i="13"/>
  <c r="S75" i="13"/>
  <c r="S132" i="13"/>
  <c r="S68" i="13"/>
  <c r="BI58" i="13"/>
  <c r="K134" i="13"/>
  <c r="BI96" i="13"/>
  <c r="AM66" i="13"/>
  <c r="S74" i="13"/>
  <c r="S96" i="13"/>
  <c r="BJ66" i="13"/>
  <c r="BG66" i="13"/>
  <c r="AP76" i="13"/>
  <c r="BI67" i="13"/>
  <c r="AO123" i="13"/>
  <c r="BH70" i="13"/>
  <c r="AB134" i="13"/>
  <c r="AO66" i="13"/>
  <c r="S130" i="13"/>
  <c r="E134" i="13"/>
  <c r="Q134" i="13" s="1"/>
  <c r="AC134" i="13"/>
  <c r="Q76" i="13"/>
  <c r="BF77" i="13"/>
  <c r="L77" i="13"/>
  <c r="BI153" i="13"/>
  <c r="G134" i="13"/>
  <c r="R173" i="13"/>
  <c r="O97" i="13"/>
  <c r="U97" i="13" s="1"/>
  <c r="AA134" i="13"/>
  <c r="AM134" i="13" s="1"/>
  <c r="U76" i="13"/>
  <c r="M77" i="13"/>
  <c r="AB77" i="13"/>
  <c r="Y135" i="13"/>
  <c r="O40" i="13"/>
  <c r="AN39" i="13"/>
  <c r="H134" i="13"/>
  <c r="AK134" i="13"/>
  <c r="J78" i="13"/>
  <c r="O78" i="13" s="1"/>
  <c r="AO126" i="13"/>
  <c r="BJ131" i="13"/>
  <c r="BK74" i="13"/>
  <c r="N40" i="13"/>
  <c r="R116" i="13"/>
  <c r="M40" i="13"/>
  <c r="D135" i="13"/>
  <c r="AN71" i="13"/>
  <c r="K77" i="13"/>
  <c r="AW116" i="13"/>
  <c r="BI116" i="13" s="1"/>
  <c r="BC154" i="13"/>
  <c r="BI154" i="13" s="1"/>
  <c r="L40" i="13"/>
  <c r="AN76" i="13"/>
  <c r="T68" i="13"/>
  <c r="BK58" i="13"/>
  <c r="H78" i="13"/>
  <c r="P77" i="13"/>
  <c r="BB173" i="13"/>
  <c r="BH173" i="13" s="1"/>
  <c r="AV116" i="13"/>
  <c r="BH116" i="13" s="1"/>
  <c r="AT78" i="13"/>
  <c r="Q71" i="13"/>
  <c r="H77" i="13"/>
  <c r="BD173" i="13"/>
  <c r="BJ173" i="13" s="1"/>
  <c r="AU77" i="13"/>
  <c r="BC77" i="13"/>
  <c r="AN122" i="13"/>
  <c r="AI97" i="13"/>
  <c r="AC154" i="13"/>
  <c r="AW77" i="13"/>
  <c r="G77" i="13"/>
  <c r="U58" i="13"/>
  <c r="AA173" i="13"/>
  <c r="AX77" i="13"/>
  <c r="AN70" i="13"/>
  <c r="F77" i="13"/>
  <c r="BA154" i="13"/>
  <c r="BG154" i="13" s="1"/>
  <c r="BB40" i="13"/>
  <c r="BH40" i="13" s="1"/>
  <c r="G78" i="13"/>
  <c r="E77" i="13"/>
  <c r="T124" i="13"/>
  <c r="T173" i="13"/>
  <c r="T116" i="13"/>
  <c r="AF97" i="13"/>
  <c r="AA97" i="13"/>
  <c r="H59" i="13"/>
  <c r="AM115" i="13"/>
  <c r="BK59" i="13"/>
  <c r="U173" i="13"/>
  <c r="Q58" i="13"/>
  <c r="U71" i="13"/>
  <c r="BH39" i="13"/>
  <c r="AO39" i="13"/>
  <c r="T71" i="13"/>
  <c r="AM125" i="13"/>
  <c r="BG96" i="13"/>
  <c r="BJ71" i="13"/>
  <c r="AP71" i="13"/>
  <c r="AM65" i="13"/>
  <c r="T115" i="13"/>
  <c r="BH172" i="13"/>
  <c r="AP70" i="13"/>
  <c r="S115" i="13"/>
  <c r="BH126" i="13"/>
  <c r="AP172" i="13"/>
  <c r="U172" i="13"/>
  <c r="BI115" i="13"/>
  <c r="AN172" i="13"/>
  <c r="U116" i="13"/>
  <c r="U69" i="13"/>
  <c r="BK172" i="13"/>
  <c r="AO69" i="13"/>
  <c r="BK115" i="13"/>
  <c r="AO130" i="13"/>
  <c r="BK96" i="13"/>
  <c r="AL70" i="13"/>
  <c r="AP67" i="13"/>
  <c r="AP126" i="13"/>
  <c r="AL130" i="13"/>
  <c r="R96" i="13"/>
  <c r="BK39" i="13"/>
  <c r="AO58" i="13"/>
  <c r="AM128" i="13"/>
  <c r="R153" i="13"/>
  <c r="AM153" i="13"/>
  <c r="AM58" i="13"/>
  <c r="AO71" i="13"/>
  <c r="R115" i="13"/>
  <c r="BH125" i="13"/>
  <c r="AL128" i="13"/>
  <c r="BJ58" i="13"/>
  <c r="AP74" i="13"/>
  <c r="AP128" i="13"/>
  <c r="U115" i="13"/>
  <c r="Q115" i="13"/>
  <c r="BJ126" i="13"/>
  <c r="AL153" i="13"/>
  <c r="BG153" i="13"/>
  <c r="AP58" i="13"/>
  <c r="BH58" i="13"/>
  <c r="AO67" i="13"/>
  <c r="AP115" i="13"/>
  <c r="BG58" i="13"/>
  <c r="BH97" i="13"/>
  <c r="AP39" i="13"/>
  <c r="AZ135" i="13"/>
  <c r="AG97" i="13"/>
  <c r="AF116" i="13"/>
  <c r="AL116" i="13" s="1"/>
  <c r="AH173" i="13"/>
  <c r="K59" i="13"/>
  <c r="AC173" i="13"/>
  <c r="AO173" i="13" s="1"/>
  <c r="AJ154" i="13"/>
  <c r="M97" i="13"/>
  <c r="S97" i="13" s="1"/>
  <c r="AH116" i="13"/>
  <c r="AN116" i="13" s="1"/>
  <c r="AH97" i="13"/>
  <c r="BE154" i="13"/>
  <c r="BK154" i="13" s="1"/>
  <c r="M59" i="13"/>
  <c r="AG116" i="13"/>
  <c r="AM116" i="13" s="1"/>
  <c r="AJ59" i="13"/>
  <c r="AP59" i="13" s="1"/>
  <c r="K97" i="13"/>
  <c r="Q97" i="13" s="1"/>
  <c r="AG59" i="13"/>
  <c r="AM59" i="13" s="1"/>
  <c r="Z173" i="13"/>
  <c r="BE97" i="13"/>
  <c r="BK97" i="13" s="1"/>
  <c r="BB154" i="13"/>
  <c r="BH154" i="13" s="1"/>
  <c r="M154" i="13"/>
  <c r="S154" i="13" s="1"/>
  <c r="N97" i="13"/>
  <c r="T97" i="13" s="1"/>
  <c r="I59" i="13"/>
  <c r="F59" i="13"/>
  <c r="N154" i="13"/>
  <c r="T154" i="13" s="1"/>
  <c r="E59" i="13"/>
  <c r="AG173" i="13"/>
  <c r="AD154" i="13"/>
  <c r="AV77" i="13"/>
  <c r="BB134" i="13"/>
  <c r="U96" i="13"/>
  <c r="BH71" i="13"/>
  <c r="BD77" i="13"/>
  <c r="AL74" i="13"/>
  <c r="BJ172" i="13"/>
  <c r="Q132" i="13"/>
  <c r="BC173" i="13"/>
  <c r="BI173" i="13" s="1"/>
  <c r="AH59" i="13"/>
  <c r="AN59" i="13" s="1"/>
  <c r="AA154" i="13"/>
  <c r="AM154" i="13" s="1"/>
  <c r="Z97" i="13"/>
  <c r="AH154" i="13"/>
  <c r="AD97" i="13"/>
  <c r="AP97" i="13" s="1"/>
  <c r="BF116" i="13"/>
  <c r="BA97" i="13"/>
  <c r="BG97" i="13" s="1"/>
  <c r="BE173" i="13"/>
  <c r="BK173" i="13" s="1"/>
  <c r="O154" i="13"/>
  <c r="U154" i="13" s="1"/>
  <c r="AB97" i="13"/>
  <c r="N59" i="13"/>
  <c r="AF173" i="13"/>
  <c r="AJ116" i="13"/>
  <c r="AP116" i="13" s="1"/>
  <c r="BD97" i="13"/>
  <c r="BJ97" i="13" s="1"/>
  <c r="AJ173" i="13"/>
  <c r="AP173" i="13" s="1"/>
  <c r="L154" i="13"/>
  <c r="R154" i="13" s="1"/>
  <c r="BA134" i="13"/>
  <c r="BH115" i="13"/>
  <c r="AL125" i="13"/>
  <c r="BF134" i="13"/>
  <c r="AM172" i="13"/>
  <c r="BC97" i="13"/>
  <c r="BI97" i="13" s="1"/>
  <c r="AF59" i="13"/>
  <c r="AL59" i="13" s="1"/>
  <c r="AB173" i="13"/>
  <c r="BC134" i="13"/>
  <c r="BH153" i="13"/>
  <c r="AK154" i="13"/>
  <c r="Q129" i="13"/>
  <c r="S124" i="13"/>
  <c r="K154" i="13"/>
  <c r="Q154" i="13" s="1"/>
  <c r="AF154" i="13"/>
  <c r="L59" i="13"/>
  <c r="Q65" i="13"/>
  <c r="R69" i="13"/>
  <c r="AL172" i="13"/>
  <c r="AB154" i="13"/>
  <c r="AI154" i="13"/>
  <c r="AO128" i="13"/>
  <c r="AN126" i="13"/>
  <c r="AO172" i="13"/>
  <c r="R130" i="13"/>
  <c r="R172" i="13"/>
  <c r="S173" i="13"/>
  <c r="T172" i="13"/>
  <c r="R132" i="13"/>
  <c r="AL122" i="13"/>
  <c r="T130" i="13"/>
  <c r="BI172" i="13"/>
  <c r="S172" i="13"/>
  <c r="BG131" i="13"/>
  <c r="Q173" i="13"/>
  <c r="BG172" i="13"/>
  <c r="Q172" i="13"/>
  <c r="BF173" i="13"/>
  <c r="BG173" i="13"/>
  <c r="AK173" i="13"/>
  <c r="Q122" i="13"/>
  <c r="P134" i="13"/>
  <c r="U122" i="13"/>
  <c r="J135" i="13"/>
  <c r="T122" i="13"/>
  <c r="T153" i="13"/>
  <c r="BI128" i="13"/>
  <c r="L134" i="13"/>
  <c r="M134" i="13"/>
  <c r="AO122" i="13"/>
  <c r="AU134" i="13"/>
  <c r="AW134" i="13"/>
  <c r="AT135" i="13"/>
  <c r="AY135" i="13" s="1"/>
  <c r="AX134" i="13"/>
  <c r="AV134" i="13"/>
  <c r="AP153" i="13"/>
  <c r="U153" i="13"/>
  <c r="BK153" i="13"/>
  <c r="BJ153" i="13"/>
  <c r="AO153" i="13"/>
  <c r="BF154" i="13"/>
  <c r="BJ154" i="13"/>
  <c r="S153" i="13"/>
  <c r="Q153" i="13"/>
  <c r="S122" i="13"/>
  <c r="Y78" i="13"/>
  <c r="AO74" i="13"/>
  <c r="BA77" i="13"/>
  <c r="AN115" i="13"/>
  <c r="AA77" i="13"/>
  <c r="AC77" i="13"/>
  <c r="AP69" i="13"/>
  <c r="AO116" i="13"/>
  <c r="S116" i="13"/>
  <c r="S71" i="13"/>
  <c r="AL115" i="13"/>
  <c r="BG115" i="13"/>
  <c r="Q116" i="13"/>
  <c r="AM67" i="13"/>
  <c r="BK75" i="13"/>
  <c r="R74" i="13"/>
  <c r="AK116" i="13"/>
  <c r="BJ115" i="13"/>
  <c r="AN65" i="13"/>
  <c r="AO115" i="13"/>
  <c r="AM96" i="13"/>
  <c r="AO65" i="13"/>
  <c r="AN96" i="13"/>
  <c r="BI75" i="13"/>
  <c r="Q96" i="13"/>
  <c r="AL96" i="13"/>
  <c r="BH96" i="13"/>
  <c r="BJ96" i="13"/>
  <c r="AO96" i="13"/>
  <c r="BF97" i="13"/>
  <c r="AF77" i="13"/>
  <c r="AH77" i="13"/>
  <c r="AE78" i="13"/>
  <c r="AJ78" i="13" s="1"/>
  <c r="AI77" i="13"/>
  <c r="AK77" i="13"/>
  <c r="AG77" i="13"/>
  <c r="AP96" i="13"/>
  <c r="P97" i="13"/>
  <c r="R97" i="13"/>
  <c r="AK97" i="13"/>
  <c r="T134" i="13"/>
  <c r="AI135" i="13"/>
  <c r="AH135" i="13"/>
  <c r="BJ59" i="13"/>
  <c r="T58" i="13"/>
  <c r="AL58" i="13"/>
  <c r="P59" i="13"/>
  <c r="S58" i="13"/>
  <c r="R58" i="13"/>
  <c r="AK59" i="13"/>
  <c r="AO59" i="13"/>
  <c r="BG59" i="13"/>
  <c r="BJ40" i="13"/>
  <c r="BG39" i="13"/>
  <c r="BI39" i="13"/>
  <c r="BA40" i="13"/>
  <c r="BG40" i="13" s="1"/>
  <c r="BC40" i="13"/>
  <c r="BI40" i="13" s="1"/>
  <c r="BE40" i="13"/>
  <c r="BK40" i="13" s="1"/>
  <c r="BJ39" i="13"/>
  <c r="BF40" i="13"/>
  <c r="AL39" i="13"/>
  <c r="AF40" i="13"/>
  <c r="AL40" i="13" s="1"/>
  <c r="AG40" i="13"/>
  <c r="AM40" i="13" s="1"/>
  <c r="AH40" i="13"/>
  <c r="AN40" i="13" s="1"/>
  <c r="AI40" i="13"/>
  <c r="AO40" i="13" s="1"/>
  <c r="AJ40" i="13"/>
  <c r="AP40" i="13" s="1"/>
  <c r="AM39" i="13"/>
  <c r="AK40" i="13"/>
  <c r="BJ134" i="13" l="1"/>
  <c r="BA78" i="13"/>
  <c r="T77" i="13"/>
  <c r="AN134" i="13"/>
  <c r="BD78" i="13"/>
  <c r="AO134" i="13"/>
  <c r="AL134" i="13"/>
  <c r="Z135" i="13"/>
  <c r="AD135" i="13"/>
  <c r="AB78" i="13"/>
  <c r="AD78" i="13"/>
  <c r="AP78" i="13" s="1"/>
  <c r="L135" i="13"/>
  <c r="O135" i="13"/>
  <c r="AG135" i="13"/>
  <c r="AJ135" i="13"/>
  <c r="AL77" i="13"/>
  <c r="BA135" i="13"/>
  <c r="BE135" i="13"/>
  <c r="BF78" i="13"/>
  <c r="AY78" i="13"/>
  <c r="BB78" i="13"/>
  <c r="BE78" i="13"/>
  <c r="H135" i="13"/>
  <c r="I135" i="13"/>
  <c r="E78" i="13"/>
  <c r="I78" i="13"/>
  <c r="U78" i="13" s="1"/>
  <c r="R134" i="13"/>
  <c r="AF135" i="13"/>
  <c r="AA135" i="13"/>
  <c r="S134" i="13"/>
  <c r="AK135" i="13"/>
  <c r="U134" i="13"/>
  <c r="AB135" i="13"/>
  <c r="AN135" i="13" s="1"/>
  <c r="AC135" i="13"/>
  <c r="AO135" i="13" s="1"/>
  <c r="AN77" i="13"/>
  <c r="BH77" i="13"/>
  <c r="U77" i="13"/>
  <c r="AP77" i="13"/>
  <c r="BG77" i="13"/>
  <c r="R77" i="13"/>
  <c r="E135" i="13"/>
  <c r="BB135" i="13"/>
  <c r="AL97" i="13"/>
  <c r="AO154" i="13"/>
  <c r="BI77" i="13"/>
  <c r="Q77" i="13"/>
  <c r="AM173" i="13"/>
  <c r="S77" i="13"/>
  <c r="BK77" i="13"/>
  <c r="AW78" i="13"/>
  <c r="BI78" i="13" s="1"/>
  <c r="F135" i="13"/>
  <c r="AX78" i="13"/>
  <c r="G135" i="13"/>
  <c r="K78" i="13"/>
  <c r="M78" i="13"/>
  <c r="S78" i="13" s="1"/>
  <c r="AV78" i="13"/>
  <c r="BJ77" i="13"/>
  <c r="P78" i="13"/>
  <c r="Z78" i="13"/>
  <c r="AU78" i="13"/>
  <c r="AA78" i="13"/>
  <c r="AN173" i="13"/>
  <c r="L78" i="13"/>
  <c r="R78" i="13" s="1"/>
  <c r="AC78" i="13"/>
  <c r="BH134" i="13"/>
  <c r="N78" i="13"/>
  <c r="T78" i="13" s="1"/>
  <c r="BD135" i="13"/>
  <c r="BC135" i="13"/>
  <c r="BF135" i="13"/>
  <c r="BI134" i="13"/>
  <c r="AN97" i="13"/>
  <c r="AM97" i="13"/>
  <c r="AO77" i="13"/>
  <c r="AL173" i="13"/>
  <c r="BK134" i="13"/>
  <c r="BG134" i="13"/>
  <c r="Q59" i="13"/>
  <c r="N135" i="13"/>
  <c r="P135" i="13"/>
  <c r="M135" i="13"/>
  <c r="K135" i="13"/>
  <c r="AX135" i="13"/>
  <c r="AW135" i="13"/>
  <c r="AV135" i="13"/>
  <c r="AU135" i="13"/>
  <c r="AN154" i="13"/>
  <c r="AL154" i="13"/>
  <c r="AP154" i="13"/>
  <c r="AM77" i="13"/>
  <c r="AO97" i="13"/>
  <c r="AK78" i="13"/>
  <c r="AI78" i="13"/>
  <c r="AH78" i="13"/>
  <c r="AF78" i="13"/>
  <c r="AG78" i="13"/>
  <c r="T59" i="13"/>
  <c r="R59" i="13"/>
  <c r="U59" i="13"/>
  <c r="S59" i="13"/>
  <c r="AN78" i="13" l="1"/>
  <c r="BG78" i="13"/>
  <c r="AL135" i="13"/>
  <c r="Q78" i="13"/>
  <c r="BG135" i="13"/>
  <c r="BJ78" i="13"/>
  <c r="AM135" i="13"/>
  <c r="AP135" i="13"/>
  <c r="BK78" i="13"/>
  <c r="R135" i="13"/>
  <c r="T135" i="13"/>
  <c r="BH78" i="13"/>
  <c r="Q135" i="13"/>
  <c r="AO78" i="13"/>
  <c r="BH135" i="13"/>
  <c r="U135" i="13"/>
  <c r="AL78" i="13"/>
  <c r="S135" i="13"/>
  <c r="BI135" i="13"/>
  <c r="BK135" i="13"/>
  <c r="AM78" i="13"/>
  <c r="BJ135" i="13"/>
  <c r="J36" i="11"/>
  <c r="J35" i="11"/>
  <c r="J34" i="11"/>
  <c r="AT14" i="13" l="1"/>
  <c r="AY14" i="13" s="1"/>
  <c r="AT13" i="13"/>
  <c r="AW13" i="13" s="1"/>
  <c r="AZ14" i="13"/>
  <c r="BD14" i="13" s="1"/>
  <c r="AT11" i="13"/>
  <c r="AY11" i="13" s="1"/>
  <c r="Y18" i="13"/>
  <c r="AB18" i="13" s="1"/>
  <c r="Y10" i="13"/>
  <c r="AC10" i="13" s="1"/>
  <c r="Y19" i="13"/>
  <c r="Z19" i="13" s="1"/>
  <c r="AT15" i="13"/>
  <c r="AV15" i="13" s="1"/>
  <c r="AT18" i="13"/>
  <c r="AY18" i="13" s="1"/>
  <c r="Y11" i="13"/>
  <c r="Z11" i="13" s="1"/>
  <c r="Y9" i="13"/>
  <c r="AC9" i="13" s="1"/>
  <c r="AZ15" i="13"/>
  <c r="BA15" i="13" s="1"/>
  <c r="AT10" i="13"/>
  <c r="AU10" i="13" s="1"/>
  <c r="AZ10" i="13"/>
  <c r="BC10" i="13" s="1"/>
  <c r="AZ12" i="13"/>
  <c r="BC12" i="13" s="1"/>
  <c r="AE9" i="13"/>
  <c r="AG9" i="13" s="1"/>
  <c r="Y17" i="13"/>
  <c r="AD17" i="13" s="1"/>
  <c r="AE17" i="13"/>
  <c r="AJ17" i="13" s="1"/>
  <c r="AT19" i="13"/>
  <c r="AY19" i="13" s="1"/>
  <c r="AE11" i="13"/>
  <c r="AI11" i="13" s="1"/>
  <c r="AZ8" i="13"/>
  <c r="AE8" i="13"/>
  <c r="AJ8" i="13" s="1"/>
  <c r="AE16" i="13"/>
  <c r="AF16" i="13" s="1"/>
  <c r="AZ19" i="13"/>
  <c r="BA19" i="13" s="1"/>
  <c r="AZ18" i="13"/>
  <c r="BB18" i="13" s="1"/>
  <c r="AZ16" i="13"/>
  <c r="BE16" i="13" s="1"/>
  <c r="AT8" i="13"/>
  <c r="AX8" i="13" s="1"/>
  <c r="AT9" i="13"/>
  <c r="AY9" i="13" s="1"/>
  <c r="AT17" i="13"/>
  <c r="AZ11" i="13"/>
  <c r="BD11" i="13" s="1"/>
  <c r="AZ17" i="13"/>
  <c r="AZ9" i="13"/>
  <c r="AT12" i="13"/>
  <c r="AZ13" i="13"/>
  <c r="AT16" i="13"/>
  <c r="Y16" i="13"/>
  <c r="AB16" i="13" s="1"/>
  <c r="Y15" i="13"/>
  <c r="AC15" i="13" s="1"/>
  <c r="Y8" i="13"/>
  <c r="AB8" i="13" s="1"/>
  <c r="AE18" i="13"/>
  <c r="AE13" i="13"/>
  <c r="AE10" i="13"/>
  <c r="AE12" i="13"/>
  <c r="AE14" i="13"/>
  <c r="AE15" i="13"/>
  <c r="AE19" i="13"/>
  <c r="Y12" i="13"/>
  <c r="Y13" i="13"/>
  <c r="Y14" i="13"/>
  <c r="M310" i="12"/>
  <c r="H310" i="12"/>
  <c r="M283" i="12"/>
  <c r="H283" i="12"/>
  <c r="M256" i="12"/>
  <c r="H256" i="12"/>
  <c r="N310" i="12"/>
  <c r="N331" i="12" s="1" a="1"/>
  <c r="N331" i="12" s="1"/>
  <c r="I310" i="12"/>
  <c r="I317" i="12" s="1" a="1"/>
  <c r="I317" i="12" s="1"/>
  <c r="N283" i="12"/>
  <c r="N303" i="12" s="1" a="1"/>
  <c r="N303" i="12" s="1"/>
  <c r="I283" i="12"/>
  <c r="I302" i="12" s="1" a="1"/>
  <c r="I302" i="12" s="1"/>
  <c r="N256" i="12"/>
  <c r="I256" i="12"/>
  <c r="I276" i="12" s="1" a="1"/>
  <c r="I276" i="12" s="1"/>
  <c r="D250" i="12"/>
  <c r="C250" i="12"/>
  <c r="D249" i="12"/>
  <c r="C249" i="12"/>
  <c r="D247" i="12"/>
  <c r="C247" i="12"/>
  <c r="D246" i="12"/>
  <c r="C246" i="12"/>
  <c r="D244" i="12"/>
  <c r="C244" i="12"/>
  <c r="D243" i="12"/>
  <c r="C243" i="12"/>
  <c r="D236" i="12"/>
  <c r="C236" i="12"/>
  <c r="D235" i="12"/>
  <c r="C235" i="12"/>
  <c r="D233" i="12"/>
  <c r="C233" i="12"/>
  <c r="D232" i="12"/>
  <c r="C232" i="12"/>
  <c r="D230" i="12"/>
  <c r="C230" i="12"/>
  <c r="D229" i="12"/>
  <c r="C229" i="12"/>
  <c r="M200" i="12"/>
  <c r="H200" i="12"/>
  <c r="M173" i="12"/>
  <c r="H173" i="12"/>
  <c r="M146" i="12"/>
  <c r="H146" i="12"/>
  <c r="N200" i="12"/>
  <c r="M331" i="12" s="1" a="1"/>
  <c r="M331" i="12" s="1"/>
  <c r="I200" i="12"/>
  <c r="H329" i="12" s="1" a="1"/>
  <c r="H329" i="12" s="1"/>
  <c r="N173" i="12"/>
  <c r="M303" i="12" s="1" a="1"/>
  <c r="M303" i="12" s="1"/>
  <c r="I173" i="12"/>
  <c r="I192" i="12" s="1" a="1"/>
  <c r="I192" i="12" s="1"/>
  <c r="N146" i="12"/>
  <c r="I146" i="12"/>
  <c r="H261" i="12" s="1" a="1"/>
  <c r="H261" i="12" s="1"/>
  <c r="D140" i="12"/>
  <c r="C140" i="12"/>
  <c r="D139" i="12"/>
  <c r="C139" i="12"/>
  <c r="D137" i="12"/>
  <c r="C137" i="12"/>
  <c r="D136" i="12"/>
  <c r="C136" i="12"/>
  <c r="D134" i="12"/>
  <c r="C134" i="12"/>
  <c r="D133" i="12"/>
  <c r="C133" i="12"/>
  <c r="D126" i="12"/>
  <c r="C126" i="12"/>
  <c r="D125" i="12"/>
  <c r="C125" i="12"/>
  <c r="D123" i="12"/>
  <c r="C123" i="12"/>
  <c r="D122" i="12"/>
  <c r="C122" i="12"/>
  <c r="D120" i="12"/>
  <c r="C120" i="12"/>
  <c r="D119" i="12"/>
  <c r="C119" i="12"/>
  <c r="X48" i="11"/>
  <c r="X47" i="11"/>
  <c r="X46" i="11"/>
  <c r="X45" i="11"/>
  <c r="X44" i="11"/>
  <c r="X43" i="11"/>
  <c r="W48" i="11"/>
  <c r="W47" i="11"/>
  <c r="W46" i="11"/>
  <c r="W45" i="11"/>
  <c r="W44" i="11"/>
  <c r="W43" i="11"/>
  <c r="U48" i="11"/>
  <c r="U47" i="11"/>
  <c r="U46" i="11"/>
  <c r="U45" i="11"/>
  <c r="U44" i="11"/>
  <c r="U43" i="11"/>
  <c r="R48" i="11"/>
  <c r="R47" i="11"/>
  <c r="R46" i="11"/>
  <c r="R45" i="11"/>
  <c r="R44" i="11"/>
  <c r="R43" i="11"/>
  <c r="L48" i="11"/>
  <c r="L47" i="11"/>
  <c r="L46" i="11"/>
  <c r="L45" i="11"/>
  <c r="L44" i="11"/>
  <c r="L43" i="11"/>
  <c r="Q48" i="11"/>
  <c r="Q47" i="11"/>
  <c r="Q46" i="11"/>
  <c r="Q45" i="11"/>
  <c r="Q44" i="11"/>
  <c r="Q43" i="11"/>
  <c r="O48" i="11"/>
  <c r="O47" i="11"/>
  <c r="O46" i="11"/>
  <c r="O45" i="11"/>
  <c r="O44" i="11"/>
  <c r="O43" i="11"/>
  <c r="K48" i="11"/>
  <c r="K47" i="11"/>
  <c r="K46" i="11"/>
  <c r="K45" i="11"/>
  <c r="K44" i="11"/>
  <c r="K43" i="11"/>
  <c r="I48" i="11"/>
  <c r="I47" i="11"/>
  <c r="I46" i="11"/>
  <c r="I45" i="11"/>
  <c r="I44" i="11"/>
  <c r="I43" i="11"/>
  <c r="E25" i="11"/>
  <c r="E24" i="11"/>
  <c r="E23" i="11"/>
  <c r="E22" i="11"/>
  <c r="E21" i="11"/>
  <c r="D25" i="11"/>
  <c r="D24" i="11"/>
  <c r="D23" i="11"/>
  <c r="D22" i="11"/>
  <c r="D21" i="11"/>
  <c r="E20" i="11"/>
  <c r="D20" i="11"/>
  <c r="C20" i="11"/>
  <c r="Z36" i="11"/>
  <c r="Z35" i="11"/>
  <c r="Z34" i="11"/>
  <c r="Z33" i="11"/>
  <c r="R36" i="11"/>
  <c r="R35" i="11"/>
  <c r="R34" i="11"/>
  <c r="R33" i="11"/>
  <c r="J33" i="11"/>
  <c r="O13" i="11"/>
  <c r="O12" i="11"/>
  <c r="O11" i="11"/>
  <c r="O10" i="11"/>
  <c r="K13" i="11"/>
  <c r="K12" i="11"/>
  <c r="K11" i="11"/>
  <c r="K10" i="11"/>
  <c r="G13" i="11"/>
  <c r="G12" i="11"/>
  <c r="G11" i="11"/>
  <c r="G10" i="11"/>
  <c r="M275" i="12" l="1" a="1"/>
  <c r="M275" i="12" s="1"/>
  <c r="N166" i="12"/>
  <c r="N158" i="12"/>
  <c r="M278" i="12"/>
  <c r="M265" i="12"/>
  <c r="N165" i="12"/>
  <c r="N164" i="12"/>
  <c r="N157" i="12"/>
  <c r="M277" i="12"/>
  <c r="M264" i="12"/>
  <c r="N163" i="12"/>
  <c r="N168" i="12"/>
  <c r="N162" i="12"/>
  <c r="N155" i="12"/>
  <c r="M268" i="12"/>
  <c r="N161" i="12"/>
  <c r="N167" i="12"/>
  <c r="N160" i="12"/>
  <c r="N154" i="12"/>
  <c r="M267" i="12"/>
  <c r="N159" i="12"/>
  <c r="N263" i="12" a="1"/>
  <c r="N263" i="12" s="1"/>
  <c r="N278" i="12"/>
  <c r="N272" i="12"/>
  <c r="N265" i="12"/>
  <c r="N271" i="12"/>
  <c r="N277" i="12"/>
  <c r="N270" i="12"/>
  <c r="N264" i="12"/>
  <c r="N269" i="12"/>
  <c r="N276" i="12"/>
  <c r="N268" i="12"/>
  <c r="N275" i="12"/>
  <c r="N274" i="12"/>
  <c r="N267" i="12"/>
  <c r="N273" i="12"/>
  <c r="BA14" i="13"/>
  <c r="AH8" i="13"/>
  <c r="AN8" i="13" s="1"/>
  <c r="AI8" i="13"/>
  <c r="BE14" i="13"/>
  <c r="BK14" i="13" s="1"/>
  <c r="AV18" i="13"/>
  <c r="BH18" i="13" s="1"/>
  <c r="BC14" i="13"/>
  <c r="AX18" i="13"/>
  <c r="BD16" i="13"/>
  <c r="AW18" i="13"/>
  <c r="BA16" i="13"/>
  <c r="M47" i="11" a="1"/>
  <c r="M47" i="11" s="1"/>
  <c r="I294" i="12" a="1"/>
  <c r="I294" i="12" s="1"/>
  <c r="I152" i="12" a="1"/>
  <c r="I152" i="12" s="1"/>
  <c r="I218" i="12" a="1"/>
  <c r="I218" i="12" s="1"/>
  <c r="I290" i="12" a="1"/>
  <c r="I290" i="12" s="1"/>
  <c r="I292" i="12" a="1"/>
  <c r="I292" i="12" s="1"/>
  <c r="N258" i="12" a="1"/>
  <c r="N258" i="12" s="1"/>
  <c r="I296" i="12" a="1"/>
  <c r="I296" i="12" s="1"/>
  <c r="I202" i="12" a="1"/>
  <c r="I202" i="12" s="1"/>
  <c r="I301" i="12" a="1"/>
  <c r="I301" i="12" s="1"/>
  <c r="I206" i="12" a="1"/>
  <c r="I206" i="12" s="1"/>
  <c r="I284" i="12" a="1"/>
  <c r="I284" i="12" s="1"/>
  <c r="I285" i="12" a="1"/>
  <c r="I285" i="12" s="1"/>
  <c r="I156" i="12" a="1"/>
  <c r="I156" i="12" s="1"/>
  <c r="I221" i="12" a="1"/>
  <c r="I221" i="12" s="1"/>
  <c r="I288" i="12" a="1"/>
  <c r="I288" i="12" s="1"/>
  <c r="I154" i="12" a="1"/>
  <c r="I154" i="12" s="1"/>
  <c r="I205" i="12" a="1"/>
  <c r="I205" i="12" s="1"/>
  <c r="I286" i="12" a="1"/>
  <c r="I286" i="12" s="1"/>
  <c r="I305" i="12" a="1"/>
  <c r="I305" i="12" s="1"/>
  <c r="N261" i="12" a="1"/>
  <c r="N261" i="12" s="1"/>
  <c r="I166" i="12" a="1"/>
  <c r="I166" i="12" s="1"/>
  <c r="I273" i="12" a="1"/>
  <c r="I273" i="12" s="1"/>
  <c r="I321" i="12" a="1"/>
  <c r="I321" i="12" s="1"/>
  <c r="I222" i="12" a="1"/>
  <c r="I222" i="12" s="1"/>
  <c r="I293" i="12" a="1"/>
  <c r="I293" i="12" s="1"/>
  <c r="N324" i="12" a="1"/>
  <c r="N324" i="12" s="1"/>
  <c r="I261" i="12" a="1"/>
  <c r="I261" i="12" s="1"/>
  <c r="J261" i="12" s="1"/>
  <c r="I264" i="12" a="1"/>
  <c r="I264" i="12" s="1"/>
  <c r="I325" i="12" a="1"/>
  <c r="I325" i="12" s="1"/>
  <c r="I157" i="12" a="1"/>
  <c r="I157" i="12" s="1"/>
  <c r="I177" i="12" a="1"/>
  <c r="I177" i="12" s="1"/>
  <c r="I209" i="12" a="1"/>
  <c r="I209" i="12" s="1"/>
  <c r="I265" i="12" a="1"/>
  <c r="I265" i="12" s="1"/>
  <c r="I277" i="12" a="1"/>
  <c r="I277" i="12" s="1"/>
  <c r="N288" i="12" a="1"/>
  <c r="N288" i="12" s="1"/>
  <c r="N296" i="12" a="1"/>
  <c r="N296" i="12" s="1"/>
  <c r="N312" i="12" a="1"/>
  <c r="N312" i="12" s="1"/>
  <c r="N328" i="12" a="1"/>
  <c r="N328" i="12" s="1"/>
  <c r="I158" i="12" a="1"/>
  <c r="I158" i="12" s="1"/>
  <c r="I181" i="12" a="1"/>
  <c r="I181" i="12" s="1"/>
  <c r="I210" i="12" a="1"/>
  <c r="I210" i="12" s="1"/>
  <c r="I257" i="12" a="1"/>
  <c r="I257" i="12" s="1"/>
  <c r="I266" i="12" a="1"/>
  <c r="I266" i="12" s="1"/>
  <c r="I289" i="12" a="1"/>
  <c r="I289" i="12" s="1"/>
  <c r="I297" i="12" a="1"/>
  <c r="I297" i="12" s="1"/>
  <c r="I313" i="12" a="1"/>
  <c r="I313" i="12" s="1"/>
  <c r="I329" i="12" a="1"/>
  <c r="I329" i="12" s="1"/>
  <c r="J329" i="12" s="1"/>
  <c r="I161" i="12" a="1"/>
  <c r="I161" i="12" s="1"/>
  <c r="I213" i="12" a="1"/>
  <c r="I213" i="12" s="1"/>
  <c r="N149" i="12" a="1"/>
  <c r="N149" i="12" s="1"/>
  <c r="I258" i="12" a="1"/>
  <c r="I258" i="12" s="1"/>
  <c r="I268" i="12" a="1"/>
  <c r="I268" i="12" s="1"/>
  <c r="N300" i="12" a="1"/>
  <c r="N300" i="12" s="1"/>
  <c r="N316" i="12" a="1"/>
  <c r="N316" i="12" s="1"/>
  <c r="N332" i="12" a="1"/>
  <c r="N332" i="12" s="1"/>
  <c r="S48" i="11" a="1"/>
  <c r="S48" i="11" s="1"/>
  <c r="I162" i="12" a="1"/>
  <c r="I162" i="12" s="1"/>
  <c r="I214" i="12" a="1"/>
  <c r="I214" i="12" s="1"/>
  <c r="I259" i="12" a="1"/>
  <c r="I259" i="12" s="1"/>
  <c r="M45" i="11" a="1"/>
  <c r="M45" i="11" s="1"/>
  <c r="I150" i="12" a="1"/>
  <c r="I150" i="12" s="1"/>
  <c r="I165" i="12" a="1"/>
  <c r="I165" i="12" s="1"/>
  <c r="I201" i="12" a="1"/>
  <c r="I201" i="12" s="1"/>
  <c r="I217" i="12" a="1"/>
  <c r="I217" i="12" s="1"/>
  <c r="I260" i="12" a="1"/>
  <c r="I260" i="12" s="1"/>
  <c r="I269" i="12" a="1"/>
  <c r="I269" i="12" s="1"/>
  <c r="N284" i="12" a="1"/>
  <c r="N284" i="12" s="1"/>
  <c r="N292" i="12" a="1"/>
  <c r="N292" i="12" s="1"/>
  <c r="N304" i="12" a="1"/>
  <c r="N304" i="12" s="1"/>
  <c r="N320" i="12" a="1"/>
  <c r="N320" i="12" s="1"/>
  <c r="I186" i="12" a="1"/>
  <c r="I186" i="12" s="1"/>
  <c r="I147" i="12" a="1"/>
  <c r="I147" i="12" s="1"/>
  <c r="N174" i="12" a="1"/>
  <c r="N174" i="12" s="1"/>
  <c r="N178" i="12" a="1"/>
  <c r="N178" i="12" s="1"/>
  <c r="N182" i="12" a="1"/>
  <c r="N182" i="12" s="1"/>
  <c r="N186" i="12" a="1"/>
  <c r="N186" i="12" s="1"/>
  <c r="N190" i="12" a="1"/>
  <c r="N190" i="12" s="1"/>
  <c r="N194" i="12" a="1"/>
  <c r="N194" i="12" s="1"/>
  <c r="N202" i="12" a="1"/>
  <c r="N202" i="12" s="1"/>
  <c r="N206" i="12" a="1"/>
  <c r="N206" i="12" s="1"/>
  <c r="N210" i="12" a="1"/>
  <c r="N210" i="12" s="1"/>
  <c r="N214" i="12" a="1"/>
  <c r="N214" i="12" s="1"/>
  <c r="N218" i="12" a="1"/>
  <c r="N218" i="12" s="1"/>
  <c r="N222" i="12" a="1"/>
  <c r="N222" i="12" s="1"/>
  <c r="N152" i="12" a="1"/>
  <c r="N152" i="12" s="1"/>
  <c r="M261" i="12" a="1"/>
  <c r="M261" i="12" s="1"/>
  <c r="H264" i="12" a="1"/>
  <c r="H264" i="12" s="1"/>
  <c r="H268" i="12" a="1"/>
  <c r="H268" i="12" s="1"/>
  <c r="H272" i="12" a="1"/>
  <c r="H272" i="12" s="1"/>
  <c r="H276" i="12" a="1"/>
  <c r="H276" i="12" s="1"/>
  <c r="H284" i="12" a="1"/>
  <c r="H284" i="12" s="1"/>
  <c r="H288" i="12" a="1"/>
  <c r="H288" i="12" s="1"/>
  <c r="H292" i="12" a="1"/>
  <c r="H292" i="12" s="1"/>
  <c r="H296" i="12" a="1"/>
  <c r="H296" i="12" s="1"/>
  <c r="H300" i="12" a="1"/>
  <c r="H300" i="12" s="1"/>
  <c r="H304" i="12" a="1"/>
  <c r="H304" i="12" s="1"/>
  <c r="H312" i="12" a="1"/>
  <c r="H312" i="12" s="1"/>
  <c r="H316" i="12" a="1"/>
  <c r="H316" i="12" s="1"/>
  <c r="H320" i="12" a="1"/>
  <c r="H320" i="12" s="1"/>
  <c r="H324" i="12" a="1"/>
  <c r="H324" i="12" s="1"/>
  <c r="H328" i="12" a="1"/>
  <c r="H328" i="12" s="1"/>
  <c r="H332" i="12" a="1"/>
  <c r="H332" i="12" s="1"/>
  <c r="I193" i="12" a="1"/>
  <c r="I193" i="12" s="1"/>
  <c r="N151" i="12" a="1"/>
  <c r="N151" i="12" s="1"/>
  <c r="I148" i="12" a="1"/>
  <c r="I148" i="12" s="1"/>
  <c r="I155" i="12" a="1"/>
  <c r="I155" i="12" s="1"/>
  <c r="I159" i="12" a="1"/>
  <c r="I159" i="12" s="1"/>
  <c r="I163" i="12" a="1"/>
  <c r="I163" i="12" s="1"/>
  <c r="I167" i="12" a="1"/>
  <c r="I167" i="12" s="1"/>
  <c r="I175" i="12" a="1"/>
  <c r="I175" i="12" s="1"/>
  <c r="I179" i="12" a="1"/>
  <c r="I179" i="12" s="1"/>
  <c r="I183" i="12" a="1"/>
  <c r="I183" i="12" s="1"/>
  <c r="I187" i="12" a="1"/>
  <c r="I187" i="12" s="1"/>
  <c r="I191" i="12" a="1"/>
  <c r="I191" i="12" s="1"/>
  <c r="I195" i="12" a="1"/>
  <c r="I195" i="12" s="1"/>
  <c r="I203" i="12" a="1"/>
  <c r="I203" i="12" s="1"/>
  <c r="I207" i="12" a="1"/>
  <c r="I207" i="12" s="1"/>
  <c r="I211" i="12" a="1"/>
  <c r="I211" i="12" s="1"/>
  <c r="I215" i="12" a="1"/>
  <c r="I215" i="12" s="1"/>
  <c r="I219" i="12" a="1"/>
  <c r="I219" i="12" s="1"/>
  <c r="N153" i="12" a="1"/>
  <c r="N153" i="12" s="1"/>
  <c r="H259" i="12" a="1"/>
  <c r="H259" i="12" s="1"/>
  <c r="M272" i="12" a="1"/>
  <c r="M272" i="12" s="1"/>
  <c r="M276" i="12" a="1"/>
  <c r="M276" i="12" s="1"/>
  <c r="M284" i="12" a="1"/>
  <c r="M284" i="12" s="1"/>
  <c r="M288" i="12" a="1"/>
  <c r="M288" i="12" s="1"/>
  <c r="M292" i="12" a="1"/>
  <c r="M292" i="12" s="1"/>
  <c r="M296" i="12" a="1"/>
  <c r="M296" i="12" s="1"/>
  <c r="M300" i="12" a="1"/>
  <c r="M300" i="12" s="1"/>
  <c r="M304" i="12" a="1"/>
  <c r="M304" i="12" s="1"/>
  <c r="M312" i="12" a="1"/>
  <c r="M312" i="12" s="1"/>
  <c r="O312" i="12" s="1"/>
  <c r="M316" i="12" a="1"/>
  <c r="M316" i="12" s="1"/>
  <c r="M320" i="12" a="1"/>
  <c r="M320" i="12" s="1"/>
  <c r="O320" i="12" s="1"/>
  <c r="M324" i="12" a="1"/>
  <c r="M324" i="12" s="1"/>
  <c r="M328" i="12" a="1"/>
  <c r="M328" i="12" s="1"/>
  <c r="M332" i="12" a="1"/>
  <c r="M332" i="12" s="1"/>
  <c r="I185" i="12" a="1"/>
  <c r="I185" i="12" s="1"/>
  <c r="I178" i="12" a="1"/>
  <c r="I178" i="12" s="1"/>
  <c r="I190" i="12" a="1"/>
  <c r="I190" i="12" s="1"/>
  <c r="S43" i="11" a="1"/>
  <c r="S43" i="11" s="1"/>
  <c r="I149" i="12" a="1"/>
  <c r="I149" i="12" s="1"/>
  <c r="N175" i="12" a="1"/>
  <c r="N175" i="12" s="1"/>
  <c r="N179" i="12" a="1"/>
  <c r="N179" i="12" s="1"/>
  <c r="N183" i="12" a="1"/>
  <c r="N183" i="12" s="1"/>
  <c r="N187" i="12" a="1"/>
  <c r="N187" i="12" s="1"/>
  <c r="N191" i="12" a="1"/>
  <c r="N191" i="12" s="1"/>
  <c r="N195" i="12" a="1"/>
  <c r="N195" i="12" s="1"/>
  <c r="N203" i="12" a="1"/>
  <c r="N203" i="12" s="1"/>
  <c r="N207" i="12" a="1"/>
  <c r="N207" i="12" s="1"/>
  <c r="N211" i="12" a="1"/>
  <c r="N211" i="12" s="1"/>
  <c r="N215" i="12" a="1"/>
  <c r="N215" i="12" s="1"/>
  <c r="N219" i="12" a="1"/>
  <c r="N219" i="12" s="1"/>
  <c r="N285" i="12" a="1"/>
  <c r="N285" i="12" s="1"/>
  <c r="N289" i="12" a="1"/>
  <c r="N289" i="12" s="1"/>
  <c r="N293" i="12" a="1"/>
  <c r="N293" i="12" s="1"/>
  <c r="N297" i="12" a="1"/>
  <c r="N297" i="12" s="1"/>
  <c r="N301" i="12" a="1"/>
  <c r="N301" i="12" s="1"/>
  <c r="N305" i="12" a="1"/>
  <c r="N305" i="12" s="1"/>
  <c r="N313" i="12" a="1"/>
  <c r="N313" i="12" s="1"/>
  <c r="N317" i="12" a="1"/>
  <c r="N317" i="12" s="1"/>
  <c r="N321" i="12" a="1"/>
  <c r="N321" i="12" s="1"/>
  <c r="N325" i="12" a="1"/>
  <c r="N325" i="12" s="1"/>
  <c r="N329" i="12" a="1"/>
  <c r="N329" i="12" s="1"/>
  <c r="M259" i="12" a="1"/>
  <c r="M259" i="12" s="1"/>
  <c r="H262" i="12" a="1"/>
  <c r="H262" i="12" s="1"/>
  <c r="H265" i="12" a="1"/>
  <c r="H265" i="12" s="1"/>
  <c r="H269" i="12" a="1"/>
  <c r="H269" i="12" s="1"/>
  <c r="H273" i="12" a="1"/>
  <c r="H273" i="12" s="1"/>
  <c r="J273" i="12" s="1"/>
  <c r="H277" i="12" a="1"/>
  <c r="H277" i="12" s="1"/>
  <c r="H285" i="12" a="1"/>
  <c r="H285" i="12" s="1"/>
  <c r="H289" i="12" a="1"/>
  <c r="H289" i="12" s="1"/>
  <c r="H293" i="12" a="1"/>
  <c r="H293" i="12" s="1"/>
  <c r="H297" i="12" a="1"/>
  <c r="H297" i="12" s="1"/>
  <c r="H301" i="12" a="1"/>
  <c r="H301" i="12" s="1"/>
  <c r="H305" i="12" a="1"/>
  <c r="H305" i="12" s="1"/>
  <c r="H313" i="12" a="1"/>
  <c r="H313" i="12" s="1"/>
  <c r="H317" i="12" a="1"/>
  <c r="H317" i="12" s="1"/>
  <c r="J317" i="12" s="1"/>
  <c r="H321" i="12" a="1"/>
  <c r="H321" i="12" s="1"/>
  <c r="H325" i="12" a="1"/>
  <c r="H325" i="12" s="1"/>
  <c r="J325" i="12" s="1"/>
  <c r="AI16" i="13"/>
  <c r="I174" i="12" a="1"/>
  <c r="I174" i="12" s="1"/>
  <c r="I194" i="12" a="1"/>
  <c r="I194" i="12" s="1"/>
  <c r="M48" i="11" a="1"/>
  <c r="M48" i="11" s="1"/>
  <c r="S44" i="11" a="1"/>
  <c r="S44" i="11" s="1"/>
  <c r="I160" i="12" a="1"/>
  <c r="I160" i="12" s="1"/>
  <c r="I164" i="12" a="1"/>
  <c r="I164" i="12" s="1"/>
  <c r="I168" i="12" a="1"/>
  <c r="I168" i="12" s="1"/>
  <c r="I176" i="12" a="1"/>
  <c r="I176" i="12" s="1"/>
  <c r="I180" i="12" a="1"/>
  <c r="I180" i="12" s="1"/>
  <c r="I184" i="12" a="1"/>
  <c r="I184" i="12" s="1"/>
  <c r="I188" i="12" a="1"/>
  <c r="I188" i="12" s="1"/>
  <c r="I204" i="12" a="1"/>
  <c r="I204" i="12" s="1"/>
  <c r="I208" i="12" a="1"/>
  <c r="I208" i="12" s="1"/>
  <c r="I212" i="12" a="1"/>
  <c r="I212" i="12" s="1"/>
  <c r="I216" i="12" a="1"/>
  <c r="I216" i="12" s="1"/>
  <c r="I220" i="12" a="1"/>
  <c r="I220" i="12" s="1"/>
  <c r="N147" i="12" a="1"/>
  <c r="N147" i="12" s="1"/>
  <c r="I270" i="12" a="1"/>
  <c r="I270" i="12" s="1"/>
  <c r="I274" i="12" a="1"/>
  <c r="I274" i="12" s="1"/>
  <c r="I278" i="12" a="1"/>
  <c r="I278" i="12" s="1"/>
  <c r="I298" i="12" a="1"/>
  <c r="I298" i="12" s="1"/>
  <c r="I314" i="12" a="1"/>
  <c r="I314" i="12" s="1"/>
  <c r="I318" i="12" a="1"/>
  <c r="I318" i="12" s="1"/>
  <c r="I322" i="12" a="1"/>
  <c r="I322" i="12" s="1"/>
  <c r="I326" i="12" a="1"/>
  <c r="I326" i="12" s="1"/>
  <c r="I330" i="12" a="1"/>
  <c r="I330" i="12" s="1"/>
  <c r="H257" i="12" a="1"/>
  <c r="H257" i="12" s="1"/>
  <c r="N259" i="12" a="1"/>
  <c r="N259" i="12" s="1"/>
  <c r="M262" i="12" a="1"/>
  <c r="M262" i="12" s="1"/>
  <c r="M269" i="12" a="1"/>
  <c r="M269" i="12" s="1"/>
  <c r="M273" i="12" a="1"/>
  <c r="M273" i="12" s="1"/>
  <c r="M285" i="12" a="1"/>
  <c r="M285" i="12" s="1"/>
  <c r="M289" i="12" a="1"/>
  <c r="M289" i="12" s="1"/>
  <c r="M293" i="12" a="1"/>
  <c r="M293" i="12" s="1"/>
  <c r="M297" i="12" a="1"/>
  <c r="M297" i="12" s="1"/>
  <c r="M301" i="12" a="1"/>
  <c r="M301" i="12" s="1"/>
  <c r="M305" i="12" a="1"/>
  <c r="M305" i="12" s="1"/>
  <c r="M313" i="12" a="1"/>
  <c r="M313" i="12" s="1"/>
  <c r="M317" i="12" a="1"/>
  <c r="M317" i="12" s="1"/>
  <c r="M321" i="12" a="1"/>
  <c r="M321" i="12" s="1"/>
  <c r="M325" i="12" a="1"/>
  <c r="M325" i="12" s="1"/>
  <c r="M329" i="12" a="1"/>
  <c r="M329" i="12" s="1"/>
  <c r="I182" i="12" a="1"/>
  <c r="I182" i="12" s="1"/>
  <c r="I151" i="12" a="1"/>
  <c r="I151" i="12" s="1"/>
  <c r="N156" i="12" a="1"/>
  <c r="N156" i="12" s="1"/>
  <c r="N176" i="12" a="1"/>
  <c r="N176" i="12" s="1"/>
  <c r="N180" i="12" a="1"/>
  <c r="N180" i="12" s="1"/>
  <c r="N184" i="12" a="1"/>
  <c r="N184" i="12" s="1"/>
  <c r="N188" i="12" a="1"/>
  <c r="N188" i="12" s="1"/>
  <c r="N192" i="12" a="1"/>
  <c r="N192" i="12" s="1"/>
  <c r="N204" i="12" a="1"/>
  <c r="N204" i="12" s="1"/>
  <c r="N208" i="12" a="1"/>
  <c r="N208" i="12" s="1"/>
  <c r="N212" i="12" a="1"/>
  <c r="N212" i="12" s="1"/>
  <c r="N216" i="12" a="1"/>
  <c r="N216" i="12" s="1"/>
  <c r="N220" i="12" a="1"/>
  <c r="N220" i="12" s="1"/>
  <c r="N148" i="12" a="1"/>
  <c r="N148" i="12" s="1"/>
  <c r="N266" i="12" a="1"/>
  <c r="N266" i="12" s="1"/>
  <c r="N286" i="12" a="1"/>
  <c r="N286" i="12" s="1"/>
  <c r="N290" i="12" a="1"/>
  <c r="N290" i="12" s="1"/>
  <c r="N294" i="12" a="1"/>
  <c r="N294" i="12" s="1"/>
  <c r="N298" i="12" a="1"/>
  <c r="N298" i="12" s="1"/>
  <c r="N302" i="12" a="1"/>
  <c r="N302" i="12" s="1"/>
  <c r="N314" i="12" a="1"/>
  <c r="N314" i="12" s="1"/>
  <c r="N318" i="12" a="1"/>
  <c r="N318" i="12" s="1"/>
  <c r="N322" i="12" a="1"/>
  <c r="N322" i="12" s="1"/>
  <c r="N326" i="12" a="1"/>
  <c r="N326" i="12" s="1"/>
  <c r="N330" i="12" a="1"/>
  <c r="N330" i="12" s="1"/>
  <c r="M257" i="12" a="1"/>
  <c r="M257" i="12" s="1"/>
  <c r="H260" i="12" a="1"/>
  <c r="H260" i="12" s="1"/>
  <c r="N262" i="12" a="1"/>
  <c r="N262" i="12" s="1"/>
  <c r="H266" i="12" a="1"/>
  <c r="H266" i="12" s="1"/>
  <c r="H270" i="12" a="1"/>
  <c r="H270" i="12" s="1"/>
  <c r="H274" i="12" a="1"/>
  <c r="H274" i="12" s="1"/>
  <c r="H278" i="12" a="1"/>
  <c r="H278" i="12" s="1"/>
  <c r="H286" i="12" a="1"/>
  <c r="H286" i="12" s="1"/>
  <c r="H290" i="12" a="1"/>
  <c r="H290" i="12" s="1"/>
  <c r="H294" i="12" a="1"/>
  <c r="H294" i="12" s="1"/>
  <c r="H298" i="12" a="1"/>
  <c r="H298" i="12" s="1"/>
  <c r="H302" i="12" a="1"/>
  <c r="H302" i="12" s="1"/>
  <c r="J302" i="12" s="1"/>
  <c r="H314" i="12" a="1"/>
  <c r="H314" i="12" s="1"/>
  <c r="H318" i="12" a="1"/>
  <c r="H318" i="12" s="1"/>
  <c r="H322" i="12" a="1"/>
  <c r="H322" i="12" s="1"/>
  <c r="H326" i="12" a="1"/>
  <c r="H326" i="12" s="1"/>
  <c r="H330" i="12" a="1"/>
  <c r="H330" i="12" s="1"/>
  <c r="I262" i="12" a="1"/>
  <c r="I262" i="12" s="1"/>
  <c r="I267" i="12" a="1"/>
  <c r="I267" i="12" s="1"/>
  <c r="I271" i="12" a="1"/>
  <c r="I271" i="12" s="1"/>
  <c r="I275" i="12" a="1"/>
  <c r="I275" i="12" s="1"/>
  <c r="I287" i="12" a="1"/>
  <c r="I287" i="12" s="1"/>
  <c r="I291" i="12" a="1"/>
  <c r="I291" i="12" s="1"/>
  <c r="I295" i="12" a="1"/>
  <c r="I295" i="12" s="1"/>
  <c r="I299" i="12" a="1"/>
  <c r="I299" i="12" s="1"/>
  <c r="I303" i="12" a="1"/>
  <c r="I303" i="12" s="1"/>
  <c r="I311" i="12" a="1"/>
  <c r="I311" i="12" s="1"/>
  <c r="I315" i="12" a="1"/>
  <c r="I315" i="12" s="1"/>
  <c r="I319" i="12" a="1"/>
  <c r="I319" i="12" s="1"/>
  <c r="I323" i="12" a="1"/>
  <c r="I323" i="12" s="1"/>
  <c r="I327" i="12" a="1"/>
  <c r="I327" i="12" s="1"/>
  <c r="I331" i="12" a="1"/>
  <c r="I331" i="12" s="1"/>
  <c r="N257" i="12" a="1"/>
  <c r="N257" i="12" s="1"/>
  <c r="M260" i="12" a="1"/>
  <c r="M260" i="12" s="1"/>
  <c r="H263" i="12" a="1"/>
  <c r="H263" i="12" s="1"/>
  <c r="M266" i="12" a="1"/>
  <c r="M266" i="12" s="1"/>
  <c r="M270" i="12" a="1"/>
  <c r="M270" i="12" s="1"/>
  <c r="M274" i="12" a="1"/>
  <c r="M274" i="12" s="1"/>
  <c r="O274" i="12" s="1"/>
  <c r="M286" i="12" a="1"/>
  <c r="M286" i="12" s="1"/>
  <c r="M290" i="12" a="1"/>
  <c r="M290" i="12" s="1"/>
  <c r="M294" i="12" a="1"/>
  <c r="M294" i="12" s="1"/>
  <c r="O294" i="12" s="1"/>
  <c r="M298" i="12" a="1"/>
  <c r="M298" i="12" s="1"/>
  <c r="M302" i="12" a="1"/>
  <c r="M302" i="12" s="1"/>
  <c r="M314" i="12" a="1"/>
  <c r="M314" i="12" s="1"/>
  <c r="M318" i="12" a="1"/>
  <c r="M318" i="12" s="1"/>
  <c r="O318" i="12" s="1"/>
  <c r="M322" i="12" a="1"/>
  <c r="M322" i="12" s="1"/>
  <c r="M326" i="12" a="1"/>
  <c r="M326" i="12" s="1"/>
  <c r="M330" i="12" a="1"/>
  <c r="M330" i="12" s="1"/>
  <c r="AU18" i="13"/>
  <c r="I189" i="12" a="1"/>
  <c r="I189" i="12" s="1"/>
  <c r="I153" i="12" a="1"/>
  <c r="I153" i="12" s="1"/>
  <c r="N177" i="12" a="1"/>
  <c r="N177" i="12" s="1"/>
  <c r="N181" i="12" a="1"/>
  <c r="N181" i="12" s="1"/>
  <c r="N185" i="12" a="1"/>
  <c r="N185" i="12" s="1"/>
  <c r="N189" i="12" a="1"/>
  <c r="N189" i="12" s="1"/>
  <c r="N193" i="12" a="1"/>
  <c r="N193" i="12" s="1"/>
  <c r="N201" i="12" a="1"/>
  <c r="N201" i="12" s="1"/>
  <c r="N205" i="12" a="1"/>
  <c r="N205" i="12" s="1"/>
  <c r="N209" i="12" a="1"/>
  <c r="N209" i="12" s="1"/>
  <c r="N213" i="12" a="1"/>
  <c r="N213" i="12" s="1"/>
  <c r="N217" i="12" a="1"/>
  <c r="N217" i="12" s="1"/>
  <c r="N221" i="12" a="1"/>
  <c r="N221" i="12" s="1"/>
  <c r="N150" i="12" a="1"/>
  <c r="N150" i="12" s="1"/>
  <c r="I263" i="12" a="1"/>
  <c r="I263" i="12" s="1"/>
  <c r="N287" i="12" a="1"/>
  <c r="N287" i="12" s="1"/>
  <c r="N291" i="12" a="1"/>
  <c r="N291" i="12" s="1"/>
  <c r="N295" i="12" a="1"/>
  <c r="N295" i="12" s="1"/>
  <c r="N299" i="12" a="1"/>
  <c r="N299" i="12" s="1"/>
  <c r="N311" i="12" a="1"/>
  <c r="N311" i="12" s="1"/>
  <c r="N315" i="12" a="1"/>
  <c r="N315" i="12" s="1"/>
  <c r="N319" i="12" a="1"/>
  <c r="N319" i="12" s="1"/>
  <c r="N323" i="12" a="1"/>
  <c r="N323" i="12" s="1"/>
  <c r="N327" i="12" a="1"/>
  <c r="N327" i="12" s="1"/>
  <c r="H258" i="12" a="1"/>
  <c r="H258" i="12" s="1"/>
  <c r="N260" i="12" a="1"/>
  <c r="N260" i="12" s="1"/>
  <c r="M263" i="12" a="1"/>
  <c r="M263" i="12" s="1"/>
  <c r="H267" i="12" a="1"/>
  <c r="H267" i="12" s="1"/>
  <c r="H271" i="12" a="1"/>
  <c r="H271" i="12" s="1"/>
  <c r="H275" i="12" a="1"/>
  <c r="H275" i="12" s="1"/>
  <c r="J275" i="12" s="1"/>
  <c r="H287" i="12" a="1"/>
  <c r="H287" i="12" s="1"/>
  <c r="H291" i="12" a="1"/>
  <c r="H291" i="12" s="1"/>
  <c r="H295" i="12" a="1"/>
  <c r="H295" i="12" s="1"/>
  <c r="H299" i="12" a="1"/>
  <c r="H299" i="12" s="1"/>
  <c r="H303" i="12" a="1"/>
  <c r="H303" i="12" s="1"/>
  <c r="H311" i="12" a="1"/>
  <c r="H311" i="12" s="1"/>
  <c r="H315" i="12" a="1"/>
  <c r="H315" i="12" s="1"/>
  <c r="H319" i="12" a="1"/>
  <c r="H319" i="12" s="1"/>
  <c r="H323" i="12" a="1"/>
  <c r="H323" i="12" s="1"/>
  <c r="H327" i="12" a="1"/>
  <c r="H327" i="12" s="1"/>
  <c r="H331" i="12" a="1"/>
  <c r="H331" i="12" s="1"/>
  <c r="AH16" i="13"/>
  <c r="AN16" i="13" s="1"/>
  <c r="I272" i="12" a="1"/>
  <c r="I272" i="12" s="1"/>
  <c r="I300" i="12" a="1"/>
  <c r="I300" i="12" s="1"/>
  <c r="I304" i="12" a="1"/>
  <c r="I304" i="12" s="1"/>
  <c r="I312" i="12" a="1"/>
  <c r="I312" i="12" s="1"/>
  <c r="I316" i="12" a="1"/>
  <c r="I316" i="12" s="1"/>
  <c r="I320" i="12" a="1"/>
  <c r="I320" i="12" s="1"/>
  <c r="I324" i="12" a="1"/>
  <c r="I324" i="12" s="1"/>
  <c r="I328" i="12" a="1"/>
  <c r="I328" i="12" s="1"/>
  <c r="I332" i="12" a="1"/>
  <c r="I332" i="12" s="1"/>
  <c r="M258" i="12" a="1"/>
  <c r="M258" i="12" s="1"/>
  <c r="M271" i="12" a="1"/>
  <c r="M271" i="12" s="1"/>
  <c r="M287" i="12" a="1"/>
  <c r="M287" i="12" s="1"/>
  <c r="M291" i="12" a="1"/>
  <c r="M291" i="12" s="1"/>
  <c r="M295" i="12" a="1"/>
  <c r="M295" i="12" s="1"/>
  <c r="M299" i="12" a="1"/>
  <c r="M299" i="12" s="1"/>
  <c r="M311" i="12" a="1"/>
  <c r="M311" i="12" s="1"/>
  <c r="M315" i="12" a="1"/>
  <c r="M315" i="12" s="1"/>
  <c r="M319" i="12" a="1"/>
  <c r="M319" i="12" s="1"/>
  <c r="M323" i="12" a="1"/>
  <c r="M323" i="12" s="1"/>
  <c r="M327" i="12" a="1"/>
  <c r="M327" i="12" s="1"/>
  <c r="AJ16" i="13"/>
  <c r="N46" i="11"/>
  <c r="X58" i="11"/>
  <c r="AA58" i="11"/>
  <c r="AD58" i="11"/>
  <c r="W58" i="11"/>
  <c r="AB58" i="11"/>
  <c r="AE58" i="11"/>
  <c r="Y58" i="11"/>
  <c r="Z58" i="11"/>
  <c r="AC58" i="11"/>
  <c r="V58" i="11"/>
  <c r="O56" i="11"/>
  <c r="L56" i="11"/>
  <c r="P56" i="11"/>
  <c r="Q56" i="11"/>
  <c r="R56" i="11"/>
  <c r="S56" i="11"/>
  <c r="T56" i="11"/>
  <c r="M56" i="11"/>
  <c r="U56" i="11"/>
  <c r="N56" i="11"/>
  <c r="N47" i="11"/>
  <c r="V59" i="11"/>
  <c r="AD59" i="11"/>
  <c r="Y59" i="11"/>
  <c r="AE59" i="11"/>
  <c r="X59" i="11"/>
  <c r="Z59" i="11"/>
  <c r="AB59" i="11"/>
  <c r="AA59" i="11"/>
  <c r="AC59" i="11"/>
  <c r="W59" i="11"/>
  <c r="AI55" i="11"/>
  <c r="AH55" i="11"/>
  <c r="AO55" i="11"/>
  <c r="AN55" i="11"/>
  <c r="AF55" i="11"/>
  <c r="AJ55" i="11"/>
  <c r="AG55" i="11"/>
  <c r="AM55" i="11"/>
  <c r="AL55" i="11"/>
  <c r="AK55" i="11"/>
  <c r="N57" i="11"/>
  <c r="O57" i="11"/>
  <c r="L57" i="11"/>
  <c r="P57" i="11"/>
  <c r="Q57" i="11"/>
  <c r="R57" i="11"/>
  <c r="S57" i="11"/>
  <c r="T57" i="11"/>
  <c r="M57" i="11"/>
  <c r="U57" i="11"/>
  <c r="N48" i="11"/>
  <c r="P48" i="11" s="1" a="1"/>
  <c r="P48" i="11" s="1"/>
  <c r="AB60" i="11"/>
  <c r="AD60" i="11"/>
  <c r="W60" i="11"/>
  <c r="AE60" i="11"/>
  <c r="X60" i="11"/>
  <c r="AA60" i="11"/>
  <c r="AC60" i="11"/>
  <c r="Y60" i="11"/>
  <c r="Z60" i="11"/>
  <c r="V60" i="11"/>
  <c r="AF56" i="11"/>
  <c r="AN56" i="11"/>
  <c r="AG56" i="11"/>
  <c r="AO56" i="11"/>
  <c r="AI56" i="11"/>
  <c r="AM56" i="11"/>
  <c r="AJ56" i="11"/>
  <c r="AK56" i="11"/>
  <c r="AL56" i="11"/>
  <c r="AH56" i="11"/>
  <c r="H47" i="11"/>
  <c r="J47" i="11" s="1" a="1"/>
  <c r="J47" i="11" s="1"/>
  <c r="T59" i="11"/>
  <c r="M59" i="11"/>
  <c r="U59" i="11"/>
  <c r="N59" i="11"/>
  <c r="O59" i="11"/>
  <c r="L59" i="11"/>
  <c r="P59" i="11"/>
  <c r="Q59" i="11"/>
  <c r="R59" i="11"/>
  <c r="S59" i="11"/>
  <c r="AL57" i="11"/>
  <c r="AM57" i="11"/>
  <c r="AN57" i="11"/>
  <c r="AG57" i="11"/>
  <c r="AO57" i="11"/>
  <c r="AH57" i="11"/>
  <c r="AK57" i="11"/>
  <c r="AI57" i="11"/>
  <c r="AF57" i="11"/>
  <c r="AJ57" i="11"/>
  <c r="H48" i="11"/>
  <c r="J48" i="11" s="1" a="1"/>
  <c r="J48" i="11" s="1"/>
  <c r="S60" i="11"/>
  <c r="T60" i="11"/>
  <c r="M60" i="11"/>
  <c r="U60" i="11"/>
  <c r="N60" i="11"/>
  <c r="O60" i="11"/>
  <c r="L60" i="11"/>
  <c r="P60" i="11"/>
  <c r="Q60" i="11"/>
  <c r="R60" i="11"/>
  <c r="T46" i="11"/>
  <c r="V46" i="11" s="1" a="1"/>
  <c r="V46" i="11" s="1"/>
  <c r="AJ58" i="11"/>
  <c r="AK58" i="11"/>
  <c r="AM58" i="11"/>
  <c r="AF58" i="11"/>
  <c r="AN58" i="11"/>
  <c r="AN61" i="11" s="1"/>
  <c r="AL58" i="11"/>
  <c r="AG58" i="11"/>
  <c r="AO58" i="11"/>
  <c r="AI58" i="11"/>
  <c r="AH58" i="11"/>
  <c r="H46" i="11"/>
  <c r="J46" i="11" s="1" a="1"/>
  <c r="J46" i="11" s="1"/>
  <c r="M58" i="11"/>
  <c r="U58" i="11"/>
  <c r="N58" i="11"/>
  <c r="O58" i="11"/>
  <c r="L58" i="11"/>
  <c r="P58" i="11"/>
  <c r="Q58" i="11"/>
  <c r="R58" i="11"/>
  <c r="S58" i="11"/>
  <c r="T58" i="11"/>
  <c r="P55" i="11"/>
  <c r="O55" i="11"/>
  <c r="M55" i="11"/>
  <c r="U55" i="11"/>
  <c r="N55" i="11"/>
  <c r="T55" i="11"/>
  <c r="S55" i="11"/>
  <c r="L55" i="11"/>
  <c r="R55" i="11"/>
  <c r="Q55" i="11"/>
  <c r="AB56" i="11"/>
  <c r="V56" i="11"/>
  <c r="W56" i="11"/>
  <c r="AE56" i="11"/>
  <c r="AC56" i="11"/>
  <c r="X56" i="11"/>
  <c r="Z56" i="11"/>
  <c r="AD56" i="11"/>
  <c r="Y56" i="11"/>
  <c r="AA56" i="11"/>
  <c r="AH59" i="11"/>
  <c r="AI59" i="11"/>
  <c r="AK59" i="11"/>
  <c r="AJ59" i="11"/>
  <c r="AL59" i="11"/>
  <c r="AM59" i="11"/>
  <c r="AO59" i="11"/>
  <c r="AF59" i="11"/>
  <c r="AN59" i="11"/>
  <c r="AG59" i="11"/>
  <c r="AD55" i="11"/>
  <c r="V55" i="11"/>
  <c r="AC55" i="11"/>
  <c r="AB55" i="11"/>
  <c r="AA55" i="11"/>
  <c r="Z55" i="11"/>
  <c r="Y55" i="11"/>
  <c r="X55" i="11"/>
  <c r="AE55" i="11"/>
  <c r="W55" i="11"/>
  <c r="Z57" i="11"/>
  <c r="AA57" i="11"/>
  <c r="AC57" i="11"/>
  <c r="V57" i="11"/>
  <c r="AD57" i="11"/>
  <c r="Y57" i="11"/>
  <c r="W57" i="11"/>
  <c r="AE57" i="11"/>
  <c r="AB57" i="11"/>
  <c r="X57" i="11"/>
  <c r="T48" i="11"/>
  <c r="V48" i="11" s="1" a="1"/>
  <c r="V48" i="11" s="1"/>
  <c r="AF60" i="11"/>
  <c r="AN60" i="11"/>
  <c r="AG60" i="11"/>
  <c r="AO60" i="11"/>
  <c r="AI60" i="11"/>
  <c r="AJ60" i="11"/>
  <c r="AM60" i="11"/>
  <c r="AH60" i="11"/>
  <c r="AK60" i="11"/>
  <c r="AL60" i="11"/>
  <c r="M46" i="11" a="1"/>
  <c r="M46" i="11" s="1"/>
  <c r="Y45" i="11" a="1"/>
  <c r="Y45" i="11" s="1"/>
  <c r="Y46" i="11" a="1"/>
  <c r="Y46" i="11" s="1"/>
  <c r="S47" i="11" a="1"/>
  <c r="S47" i="11" s="1"/>
  <c r="Y43" i="11" a="1"/>
  <c r="Y43" i="11" s="1"/>
  <c r="Y44" i="11" a="1"/>
  <c r="Y44" i="11" s="1"/>
  <c r="S45" i="11" a="1"/>
  <c r="S45" i="11" s="1"/>
  <c r="S46" i="11" a="1"/>
  <c r="S46" i="11" s="1"/>
  <c r="M43" i="11" a="1"/>
  <c r="M43" i="11" s="1"/>
  <c r="Y47" i="11" a="1"/>
  <c r="Y47" i="11" s="1"/>
  <c r="M44" i="11" a="1"/>
  <c r="M44" i="11" s="1"/>
  <c r="Y48" i="11" a="1"/>
  <c r="Y48" i="11" s="1"/>
  <c r="AG16" i="13"/>
  <c r="AX14" i="13"/>
  <c r="BJ14" i="13" s="1"/>
  <c r="Z9" i="13"/>
  <c r="BF14" i="13"/>
  <c r="AV14" i="13"/>
  <c r="AW14" i="13"/>
  <c r="BB16" i="13"/>
  <c r="BC16" i="13"/>
  <c r="V35" i="11"/>
  <c r="J310" i="12"/>
  <c r="C283" i="12"/>
  <c r="O200" i="12"/>
  <c r="J11" i="11"/>
  <c r="M11" i="11" s="1"/>
  <c r="V34" i="11"/>
  <c r="V33" i="11"/>
  <c r="T43" i="11"/>
  <c r="V43" i="11" s="1" a="1"/>
  <c r="V43" i="11" s="1"/>
  <c r="AD33" i="11"/>
  <c r="N10" i="11"/>
  <c r="Q10" i="11" s="1"/>
  <c r="N11" i="11"/>
  <c r="Q11" i="11" s="1"/>
  <c r="AD34" i="11"/>
  <c r="H44" i="11"/>
  <c r="J44" i="11" s="1" a="1"/>
  <c r="J44" i="11" s="1"/>
  <c r="N35" i="11"/>
  <c r="H45" i="11"/>
  <c r="J45" i="11" s="1" a="1"/>
  <c r="J45" i="11" s="1"/>
  <c r="N36" i="11"/>
  <c r="N45" i="11"/>
  <c r="P45" i="11" s="1" a="1"/>
  <c r="P45" i="11" s="1"/>
  <c r="V36" i="11"/>
  <c r="T44" i="11"/>
  <c r="V44" i="11" s="1" a="1"/>
  <c r="V44" i="11" s="1"/>
  <c r="AD35" i="11"/>
  <c r="N12" i="11"/>
  <c r="P12" i="11" s="1"/>
  <c r="T47" i="11"/>
  <c r="N13" i="11"/>
  <c r="Q13" i="11" s="1"/>
  <c r="T45" i="11"/>
  <c r="V45" i="11" s="1" a="1"/>
  <c r="V45" i="11" s="1"/>
  <c r="N14" i="11"/>
  <c r="Q14" i="11" s="1"/>
  <c r="AD36" i="11"/>
  <c r="H43" i="11"/>
  <c r="J43" i="11" s="1" a="1"/>
  <c r="J43" i="11" s="1"/>
  <c r="N33" i="11"/>
  <c r="N34" i="11"/>
  <c r="AU14" i="13"/>
  <c r="BG14" i="13" s="1"/>
  <c r="E125" i="12"/>
  <c r="D200" i="12"/>
  <c r="O173" i="12"/>
  <c r="D173" i="12"/>
  <c r="C200" i="12"/>
  <c r="J146" i="12"/>
  <c r="D256" i="12"/>
  <c r="O283" i="12"/>
  <c r="AU15" i="13"/>
  <c r="BG15" i="13" s="1"/>
  <c r="BC15" i="13"/>
  <c r="BD15" i="13"/>
  <c r="AY15" i="13"/>
  <c r="AW15" i="13"/>
  <c r="BF15" i="13"/>
  <c r="BE15" i="13"/>
  <c r="AX15" i="13"/>
  <c r="BB15" i="13"/>
  <c r="BH15" i="13" s="1"/>
  <c r="AA11" i="13"/>
  <c r="BB14" i="13"/>
  <c r="AC11" i="13"/>
  <c r="AO11" i="13" s="1"/>
  <c r="AB11" i="13"/>
  <c r="AD11" i="13"/>
  <c r="AY10" i="13"/>
  <c r="AW10" i="13"/>
  <c r="BI10" i="13" s="1"/>
  <c r="AX10" i="13"/>
  <c r="AK18" i="13"/>
  <c r="BC19" i="13"/>
  <c r="BB19" i="13"/>
  <c r="BD19" i="13"/>
  <c r="AA17" i="13"/>
  <c r="BE19" i="13"/>
  <c r="BK19" i="13" s="1"/>
  <c r="Z17" i="13"/>
  <c r="AV13" i="13"/>
  <c r="AX13" i="13"/>
  <c r="AY13" i="13"/>
  <c r="BE12" i="13"/>
  <c r="AG11" i="13"/>
  <c r="AF11" i="13"/>
  <c r="AL11" i="13" s="1"/>
  <c r="AH11" i="13"/>
  <c r="AD18" i="13"/>
  <c r="AK11" i="13"/>
  <c r="AJ11" i="13"/>
  <c r="AU13" i="13"/>
  <c r="AD10" i="13"/>
  <c r="Z10" i="13"/>
  <c r="AA10" i="13"/>
  <c r="AB10" i="13"/>
  <c r="AK16" i="13"/>
  <c r="AC16" i="13"/>
  <c r="AB9" i="13"/>
  <c r="AA9" i="13"/>
  <c r="AM9" i="13" s="1"/>
  <c r="BB12" i="13"/>
  <c r="AA19" i="13"/>
  <c r="AD9" i="13"/>
  <c r="BA12" i="13"/>
  <c r="AC19" i="13"/>
  <c r="AD19" i="13"/>
  <c r="AB19" i="13"/>
  <c r="BD12" i="13"/>
  <c r="D242" i="12"/>
  <c r="J283" i="12"/>
  <c r="O256" i="12"/>
  <c r="D146" i="12"/>
  <c r="C146" i="12"/>
  <c r="C173" i="12"/>
  <c r="D231" i="12"/>
  <c r="BA18" i="13"/>
  <c r="J200" i="12"/>
  <c r="AX11" i="13"/>
  <c r="BJ11" i="13" s="1"/>
  <c r="BC18" i="13"/>
  <c r="AV11" i="13"/>
  <c r="O310" i="12"/>
  <c r="AU11" i="13"/>
  <c r="BD18" i="13"/>
  <c r="AW11" i="13"/>
  <c r="BE18" i="13"/>
  <c r="BK18" i="13" s="1"/>
  <c r="BF18" i="13"/>
  <c r="I133" i="12"/>
  <c r="C242" i="12"/>
  <c r="E140" i="12"/>
  <c r="AK8" i="13"/>
  <c r="AF8" i="13"/>
  <c r="AF9" i="13"/>
  <c r="AP17" i="13"/>
  <c r="AC17" i="13"/>
  <c r="AC18" i="13"/>
  <c r="AB17" i="13"/>
  <c r="BB10" i="13"/>
  <c r="AK17" i="13"/>
  <c r="AG18" i="13"/>
  <c r="BD10" i="13"/>
  <c r="AG8" i="13"/>
  <c r="AJ9" i="13"/>
  <c r="AH18" i="13"/>
  <c r="AN18" i="13" s="1"/>
  <c r="BA10" i="13"/>
  <c r="BG10" i="13" s="1"/>
  <c r="BE10" i="13"/>
  <c r="Z18" i="13"/>
  <c r="AJ18" i="13"/>
  <c r="BF10" i="13"/>
  <c r="AA18" i="13"/>
  <c r="BE11" i="13"/>
  <c r="BK11" i="13" s="1"/>
  <c r="AV10" i="13"/>
  <c r="AF18" i="13"/>
  <c r="AI18" i="13"/>
  <c r="AV8" i="13"/>
  <c r="AU8" i="13"/>
  <c r="AU19" i="13"/>
  <c r="BG19" i="13" s="1"/>
  <c r="AV19" i="13"/>
  <c r="AW19" i="13"/>
  <c r="BF8" i="13"/>
  <c r="AX19" i="13"/>
  <c r="BF19" i="13"/>
  <c r="AF17" i="13"/>
  <c r="AK9" i="13"/>
  <c r="AG17" i="13"/>
  <c r="BC8" i="13"/>
  <c r="AI9" i="13"/>
  <c r="AO9" i="13" s="1"/>
  <c r="AH17" i="13"/>
  <c r="Z8" i="13"/>
  <c r="AI17" i="13"/>
  <c r="BD8" i="13"/>
  <c r="BJ8" i="13" s="1"/>
  <c r="BA8" i="13"/>
  <c r="AC8" i="13"/>
  <c r="AA8" i="13"/>
  <c r="BE8" i="13"/>
  <c r="BB8" i="13"/>
  <c r="AD8" i="13"/>
  <c r="AP8" i="13" s="1"/>
  <c r="AH9" i="13"/>
  <c r="H136" i="12"/>
  <c r="E233" i="12"/>
  <c r="H250" i="12"/>
  <c r="H134" i="12"/>
  <c r="H140" i="12"/>
  <c r="C310" i="12"/>
  <c r="E137" i="12"/>
  <c r="E246" i="12"/>
  <c r="C132" i="12"/>
  <c r="C245" i="12"/>
  <c r="D228" i="12"/>
  <c r="N44" i="11"/>
  <c r="P44" i="11" s="1" a="1"/>
  <c r="P44" i="11" s="1"/>
  <c r="J12" i="11"/>
  <c r="M12" i="11" s="1"/>
  <c r="D310" i="12"/>
  <c r="AV9" i="13"/>
  <c r="AU9" i="13"/>
  <c r="I136" i="12"/>
  <c r="I244" i="12"/>
  <c r="AX9" i="13"/>
  <c r="AW9" i="13"/>
  <c r="H137" i="12"/>
  <c r="E229" i="12"/>
  <c r="H249" i="12"/>
  <c r="H246" i="12"/>
  <c r="BB11" i="13"/>
  <c r="D234" i="12"/>
  <c r="C256" i="12"/>
  <c r="BC11" i="13"/>
  <c r="H133" i="12"/>
  <c r="AE20" i="13"/>
  <c r="AJ20" i="13" s="1"/>
  <c r="N43" i="11"/>
  <c r="P43" i="11" s="1" a="1"/>
  <c r="P43" i="11" s="1"/>
  <c r="AV17" i="13"/>
  <c r="AW17" i="13"/>
  <c r="AU17" i="13"/>
  <c r="AT20" i="13"/>
  <c r="AY8" i="13"/>
  <c r="AW8" i="13"/>
  <c r="AX17" i="13"/>
  <c r="AY17" i="13"/>
  <c r="BF11" i="13"/>
  <c r="BA11" i="13"/>
  <c r="BF13" i="13"/>
  <c r="BE13" i="13"/>
  <c r="BD13" i="13"/>
  <c r="BC13" i="13"/>
  <c r="BI13" i="13" s="1"/>
  <c r="BB13" i="13"/>
  <c r="BA13" i="13"/>
  <c r="BF17" i="13"/>
  <c r="BA17" i="13"/>
  <c r="BE17" i="13"/>
  <c r="BD17" i="13"/>
  <c r="BC17" i="13"/>
  <c r="BB17" i="13"/>
  <c r="BF9" i="13"/>
  <c r="BE9" i="13"/>
  <c r="BK9" i="13" s="1"/>
  <c r="BD9" i="13"/>
  <c r="BA9" i="13"/>
  <c r="BC9" i="13"/>
  <c r="BB9" i="13"/>
  <c r="AY16" i="13"/>
  <c r="BK16" i="13" s="1"/>
  <c r="AX16" i="13"/>
  <c r="AW16" i="13"/>
  <c r="BF16" i="13"/>
  <c r="AV16" i="13"/>
  <c r="AU16" i="13"/>
  <c r="AY12" i="13"/>
  <c r="AX12" i="13"/>
  <c r="AW12" i="13"/>
  <c r="BI12" i="13" s="1"/>
  <c r="BF12" i="13"/>
  <c r="AV12" i="13"/>
  <c r="AU12" i="13"/>
  <c r="AZ20" i="13"/>
  <c r="BE20" i="13" s="1"/>
  <c r="Z15" i="13"/>
  <c r="AD15" i="13"/>
  <c r="AB15" i="13"/>
  <c r="AA15" i="13"/>
  <c r="Z16" i="13"/>
  <c r="AL16" i="13" s="1"/>
  <c r="AD16" i="13"/>
  <c r="AA16" i="13"/>
  <c r="AB12" i="13"/>
  <c r="AA12" i="13"/>
  <c r="AD12" i="13"/>
  <c r="AC12" i="13"/>
  <c r="Z12" i="13"/>
  <c r="AH15" i="13"/>
  <c r="AI15" i="13"/>
  <c r="AO15" i="13" s="1"/>
  <c r="AG15" i="13"/>
  <c r="AF15" i="13"/>
  <c r="AK15" i="13"/>
  <c r="AJ15" i="13"/>
  <c r="Y20" i="13"/>
  <c r="AD20" i="13" s="1"/>
  <c r="AH13" i="13"/>
  <c r="AG13" i="13"/>
  <c r="AF13" i="13"/>
  <c r="AK13" i="13"/>
  <c r="AJ13" i="13"/>
  <c r="AI13" i="13"/>
  <c r="AJ10" i="13"/>
  <c r="AG10" i="13"/>
  <c r="AF10" i="13"/>
  <c r="AK10" i="13"/>
  <c r="AI10" i="13"/>
  <c r="AO10" i="13" s="1"/>
  <c r="AH10" i="13"/>
  <c r="AB14" i="13"/>
  <c r="AC14" i="13"/>
  <c r="AA14" i="13"/>
  <c r="AD14" i="13"/>
  <c r="Z14" i="13"/>
  <c r="AJ19" i="13"/>
  <c r="AK19" i="13"/>
  <c r="AG19" i="13"/>
  <c r="AI19" i="13"/>
  <c r="AH19" i="13"/>
  <c r="AF19" i="13"/>
  <c r="AL19" i="13" s="1"/>
  <c r="AD13" i="13"/>
  <c r="AB13" i="13"/>
  <c r="AA13" i="13"/>
  <c r="AC13" i="13"/>
  <c r="Z13" i="13"/>
  <c r="AJ14" i="13"/>
  <c r="AH14" i="13"/>
  <c r="AG14" i="13"/>
  <c r="AF14" i="13"/>
  <c r="AK14" i="13"/>
  <c r="AI14" i="13"/>
  <c r="AF12" i="13"/>
  <c r="AH12" i="13"/>
  <c r="AG12" i="13"/>
  <c r="AK12" i="13"/>
  <c r="AJ12" i="13"/>
  <c r="AI12" i="13"/>
  <c r="E247" i="12"/>
  <c r="C248" i="12"/>
  <c r="C234" i="12"/>
  <c r="H244" i="12"/>
  <c r="E250" i="12"/>
  <c r="O303" i="12"/>
  <c r="O331" i="12"/>
  <c r="J256" i="12"/>
  <c r="E235" i="12"/>
  <c r="E244" i="12"/>
  <c r="I243" i="12"/>
  <c r="I247" i="12"/>
  <c r="E243" i="12"/>
  <c r="H243" i="12"/>
  <c r="I246" i="12"/>
  <c r="D245" i="12"/>
  <c r="H247" i="12"/>
  <c r="D248" i="12"/>
  <c r="E249" i="12"/>
  <c r="E232" i="12"/>
  <c r="I249" i="12"/>
  <c r="C228" i="12"/>
  <c r="E230" i="12"/>
  <c r="C231" i="12"/>
  <c r="I250" i="12"/>
  <c r="E236" i="12"/>
  <c r="D283" i="12"/>
  <c r="E119" i="12"/>
  <c r="C124" i="12"/>
  <c r="H139" i="12"/>
  <c r="E120" i="12"/>
  <c r="C135" i="12"/>
  <c r="E136" i="12"/>
  <c r="C121" i="12"/>
  <c r="C118" i="12"/>
  <c r="D124" i="12"/>
  <c r="I134" i="12"/>
  <c r="D118" i="12"/>
  <c r="D135" i="12"/>
  <c r="E122" i="12"/>
  <c r="D138" i="12"/>
  <c r="D132" i="12"/>
  <c r="I137" i="12"/>
  <c r="E133" i="12"/>
  <c r="E123" i="12"/>
  <c r="D121" i="12"/>
  <c r="E126" i="12"/>
  <c r="C138" i="12"/>
  <c r="E139" i="12"/>
  <c r="I140" i="12"/>
  <c r="O146" i="12"/>
  <c r="E134" i="12"/>
  <c r="I139" i="12"/>
  <c r="J173" i="12"/>
  <c r="V47" i="11" a="1"/>
  <c r="V47" i="11" s="1"/>
  <c r="P46" i="11" a="1"/>
  <c r="P46" i="11" s="1"/>
  <c r="P47" i="11" a="1"/>
  <c r="P47" i="11" s="1"/>
  <c r="J13" i="11"/>
  <c r="M13" i="11" s="1"/>
  <c r="J10" i="11"/>
  <c r="L10" i="11" s="1"/>
  <c r="J14" i="11"/>
  <c r="M14" i="11" s="1"/>
  <c r="AK61" i="11" l="1"/>
  <c r="O264" i="12"/>
  <c r="O263" i="12"/>
  <c r="AM61" i="11"/>
  <c r="J294" i="12"/>
  <c r="J260" i="12"/>
  <c r="AO61" i="11"/>
  <c r="J313" i="12"/>
  <c r="J288" i="12"/>
  <c r="P61" i="11"/>
  <c r="AJ61" i="11"/>
  <c r="AT21" i="13"/>
  <c r="AY21" i="13" s="1"/>
  <c r="AY20" i="13"/>
  <c r="T61" i="11"/>
  <c r="S61" i="11"/>
  <c r="AH61" i="11"/>
  <c r="BI14" i="13"/>
  <c r="AP16" i="13"/>
  <c r="J296" i="12"/>
  <c r="D321" i="12"/>
  <c r="O300" i="12"/>
  <c r="O260" i="12"/>
  <c r="BG18" i="13"/>
  <c r="AN10" i="13"/>
  <c r="BI18" i="13"/>
  <c r="AO8" i="13"/>
  <c r="AU20" i="13"/>
  <c r="BG16" i="13"/>
  <c r="BJ16" i="13"/>
  <c r="BJ18" i="13"/>
  <c r="O272" i="12"/>
  <c r="J324" i="12"/>
  <c r="O325" i="12"/>
  <c r="J301" i="12"/>
  <c r="O284" i="12"/>
  <c r="J285" i="12"/>
  <c r="O268" i="12"/>
  <c r="J318" i="12"/>
  <c r="O278" i="12"/>
  <c r="J293" i="12"/>
  <c r="O276" i="12"/>
  <c r="J328" i="12"/>
  <c r="O329" i="12"/>
  <c r="O293" i="12"/>
  <c r="J265" i="12"/>
  <c r="O289" i="12"/>
  <c r="D175" i="12"/>
  <c r="J332" i="12"/>
  <c r="J277" i="12"/>
  <c r="J284" i="12"/>
  <c r="D215" i="12"/>
  <c r="J258" i="12"/>
  <c r="J290" i="12"/>
  <c r="O259" i="12"/>
  <c r="D284" i="12"/>
  <c r="AO16" i="13"/>
  <c r="J286" i="12"/>
  <c r="J257" i="12"/>
  <c r="J269" i="12"/>
  <c r="D275" i="12" a="1"/>
  <c r="D275" i="12" s="1"/>
  <c r="O322" i="12"/>
  <c r="O288" i="12"/>
  <c r="J264" i="12"/>
  <c r="O261" i="12"/>
  <c r="J292" i="12"/>
  <c r="O275" i="12"/>
  <c r="BH16" i="13"/>
  <c r="C278" i="12" a="1"/>
  <c r="C278" i="12" s="1"/>
  <c r="J266" i="12"/>
  <c r="O323" i="12"/>
  <c r="O301" i="12"/>
  <c r="O265" i="12"/>
  <c r="J262" i="12"/>
  <c r="J330" i="12"/>
  <c r="J259" i="12"/>
  <c r="J327" i="12"/>
  <c r="J291" i="12"/>
  <c r="J305" i="12"/>
  <c r="D158" i="12" a="1"/>
  <c r="D158" i="12" s="1"/>
  <c r="J321" i="12"/>
  <c r="O327" i="12"/>
  <c r="O304" i="12"/>
  <c r="J297" i="12"/>
  <c r="D320" i="12"/>
  <c r="O287" i="12"/>
  <c r="J311" i="12"/>
  <c r="O295" i="12"/>
  <c r="O330" i="12"/>
  <c r="O290" i="12"/>
  <c r="J299" i="12"/>
  <c r="D274" i="12" a="1"/>
  <c r="D274" i="12" s="1"/>
  <c r="J312" i="12"/>
  <c r="C326" i="12"/>
  <c r="J272" i="12"/>
  <c r="J303" i="12"/>
  <c r="O299" i="12"/>
  <c r="O302" i="12"/>
  <c r="O297" i="12"/>
  <c r="C330" i="12"/>
  <c r="J274" i="12"/>
  <c r="O332" i="12"/>
  <c r="O316" i="12"/>
  <c r="C322" i="12"/>
  <c r="J278" i="12"/>
  <c r="O326" i="12"/>
  <c r="O286" i="12"/>
  <c r="O321" i="12"/>
  <c r="O285" i="12"/>
  <c r="O271" i="12"/>
  <c r="D205" i="12"/>
  <c r="D323" i="12"/>
  <c r="J287" i="12"/>
  <c r="O324" i="12"/>
  <c r="O314" i="12"/>
  <c r="O270" i="12"/>
  <c r="O319" i="12"/>
  <c r="D285" i="12"/>
  <c r="C318" i="12"/>
  <c r="D270" i="12" a="1"/>
  <c r="D270" i="12" s="1"/>
  <c r="O328" i="12"/>
  <c r="D168" i="12" a="1"/>
  <c r="D168" i="12" s="1"/>
  <c r="O311" i="12"/>
  <c r="O305" i="12"/>
  <c r="O269" i="12"/>
  <c r="D151" i="12" a="1"/>
  <c r="D151" i="12" s="1"/>
  <c r="C268" i="12" a="1"/>
  <c r="C268" i="12" s="1"/>
  <c r="D166" i="12" a="1"/>
  <c r="D166" i="12" s="1"/>
  <c r="J268" i="12"/>
  <c r="J289" i="12"/>
  <c r="D296" i="12"/>
  <c r="C263" i="12" a="1"/>
  <c r="C263" i="12" s="1"/>
  <c r="D189" i="12"/>
  <c r="D322" i="12"/>
  <c r="J320" i="12"/>
  <c r="J323" i="12"/>
  <c r="AL9" i="13"/>
  <c r="O262" i="12"/>
  <c r="D159" i="12" a="1"/>
  <c r="D159" i="12" s="1"/>
  <c r="C331" i="12"/>
  <c r="D291" i="12"/>
  <c r="D217" i="12"/>
  <c r="D181" i="12"/>
  <c r="D257" i="12" a="1"/>
  <c r="D257" i="12" s="1"/>
  <c r="D314" i="12"/>
  <c r="D287" i="12"/>
  <c r="D182" i="12"/>
  <c r="AM16" i="13"/>
  <c r="C287" i="12"/>
  <c r="BG12" i="13"/>
  <c r="C327" i="12"/>
  <c r="D213" i="12"/>
  <c r="D177" i="12"/>
  <c r="D331" i="12"/>
  <c r="D289" i="12"/>
  <c r="C265" i="12" a="1"/>
  <c r="C265" i="12" s="1"/>
  <c r="D271" i="12" a="1"/>
  <c r="D271" i="12" s="1"/>
  <c r="D269" i="12" a="1"/>
  <c r="D269" i="12" s="1"/>
  <c r="O257" i="12"/>
  <c r="D147" i="12" a="1"/>
  <c r="D147" i="12" s="1"/>
  <c r="D150" i="12" a="1"/>
  <c r="D150" i="12" s="1"/>
  <c r="J331" i="12"/>
  <c r="D259" i="12" a="1"/>
  <c r="D259" i="12" s="1"/>
  <c r="D316" i="12"/>
  <c r="C323" i="12"/>
  <c r="D209" i="12"/>
  <c r="D327" i="12"/>
  <c r="C314" i="12"/>
  <c r="C329" i="12"/>
  <c r="D220" i="12"/>
  <c r="C320" i="12"/>
  <c r="D154" i="12" a="1"/>
  <c r="D154" i="12" s="1"/>
  <c r="D165" i="12" a="1"/>
  <c r="D165" i="12" s="1"/>
  <c r="J322" i="12"/>
  <c r="D265" i="12" a="1"/>
  <c r="D265" i="12" s="1"/>
  <c r="O291" i="12"/>
  <c r="C257" i="12" a="1"/>
  <c r="C257" i="12" s="1"/>
  <c r="C301" i="12"/>
  <c r="D312" i="12"/>
  <c r="C319" i="12"/>
  <c r="D192" i="12"/>
  <c r="C325" i="12"/>
  <c r="D324" i="12"/>
  <c r="D216" i="12"/>
  <c r="C324" i="12"/>
  <c r="D161" i="12" a="1"/>
  <c r="D161" i="12" s="1"/>
  <c r="J314" i="12"/>
  <c r="D261" i="12" a="1"/>
  <c r="D261" i="12" s="1"/>
  <c r="D260" i="12" a="1"/>
  <c r="D260" i="12" s="1"/>
  <c r="C277" i="12" a="1"/>
  <c r="C277" i="12" s="1"/>
  <c r="D276" i="12" a="1"/>
  <c r="D276" i="12" s="1"/>
  <c r="D304" i="12"/>
  <c r="C315" i="12"/>
  <c r="C271" i="12" a="1"/>
  <c r="C271" i="12" s="1"/>
  <c r="O315" i="12"/>
  <c r="O267" i="12"/>
  <c r="D201" i="12"/>
  <c r="D157" i="12" a="1"/>
  <c r="D157" i="12" s="1"/>
  <c r="J319" i="12"/>
  <c r="J267" i="12"/>
  <c r="C298" i="12"/>
  <c r="D302" i="12"/>
  <c r="O266" i="12"/>
  <c r="D330" i="12"/>
  <c r="E330" i="12" s="1"/>
  <c r="D212" i="12"/>
  <c r="D218" i="12"/>
  <c r="C321" i="12"/>
  <c r="E321" i="12" s="1"/>
  <c r="C264" i="12" a="1"/>
  <c r="C264" i="12" s="1"/>
  <c r="C269" i="12" a="1"/>
  <c r="C269" i="12" s="1"/>
  <c r="C258" i="12" a="1"/>
  <c r="C258" i="12" s="1"/>
  <c r="D300" i="12"/>
  <c r="C311" i="12"/>
  <c r="C267" i="12" a="1"/>
  <c r="C267" i="12" s="1"/>
  <c r="D263" i="12" a="1"/>
  <c r="D263" i="12" s="1"/>
  <c r="D193" i="12"/>
  <c r="D153" i="12" a="1"/>
  <c r="D153" i="12" s="1"/>
  <c r="C302" i="12"/>
  <c r="C266" i="12" a="1"/>
  <c r="C266" i="12" s="1"/>
  <c r="D315" i="12"/>
  <c r="C294" i="12"/>
  <c r="O298" i="12"/>
  <c r="D184" i="12"/>
  <c r="C317" i="12"/>
  <c r="J326" i="12"/>
  <c r="D208" i="12"/>
  <c r="D222" i="12"/>
  <c r="D149" i="12" a="1"/>
  <c r="D149" i="12" s="1"/>
  <c r="D292" i="12"/>
  <c r="D152" i="12" a="1"/>
  <c r="D152" i="12" s="1"/>
  <c r="C262" i="12" a="1"/>
  <c r="C262" i="12" s="1"/>
  <c r="D278" i="12" a="1"/>
  <c r="D278" i="12" s="1"/>
  <c r="E278" i="12" s="1"/>
  <c r="D156" i="12" a="1"/>
  <c r="D156" i="12" s="1"/>
  <c r="D332" i="12"/>
  <c r="C303" i="12"/>
  <c r="D299" i="12"/>
  <c r="D311" i="12"/>
  <c r="E311" i="12" s="1"/>
  <c r="C290" i="12"/>
  <c r="D204" i="12"/>
  <c r="C273" i="12" a="1"/>
  <c r="C273" i="12" s="1"/>
  <c r="O317" i="12"/>
  <c r="O277" i="12"/>
  <c r="D203" i="12"/>
  <c r="D163" i="12" a="1"/>
  <c r="D163" i="12" s="1"/>
  <c r="C296" i="12"/>
  <c r="D191" i="12"/>
  <c r="D155" i="12" a="1"/>
  <c r="D155" i="12" s="1"/>
  <c r="C316" i="12"/>
  <c r="C276" i="12" a="1"/>
  <c r="C276" i="12" s="1"/>
  <c r="D214" i="12"/>
  <c r="D178" i="12"/>
  <c r="C295" i="12"/>
  <c r="J295" i="12"/>
  <c r="D167" i="12" a="1"/>
  <c r="D167" i="12" s="1"/>
  <c r="D162" i="12" a="1"/>
  <c r="D162" i="12" s="1"/>
  <c r="D148" i="12" a="1"/>
  <c r="D148" i="12" s="1"/>
  <c r="J270" i="12"/>
  <c r="D258" i="12" a="1"/>
  <c r="D258" i="12" s="1"/>
  <c r="C261" i="12" a="1"/>
  <c r="C261" i="12" s="1"/>
  <c r="C274" i="12" a="1"/>
  <c r="C274" i="12" s="1"/>
  <c r="D328" i="12"/>
  <c r="C299" i="12"/>
  <c r="D295" i="12"/>
  <c r="D221" i="12"/>
  <c r="D185" i="12"/>
  <c r="D303" i="12"/>
  <c r="C286" i="12"/>
  <c r="D176" i="12"/>
  <c r="D318" i="12"/>
  <c r="D188" i="12"/>
  <c r="C305" i="12"/>
  <c r="O313" i="12"/>
  <c r="O273" i="12"/>
  <c r="D195" i="12"/>
  <c r="O292" i="12"/>
  <c r="D187" i="12"/>
  <c r="C312" i="12"/>
  <c r="C272" i="12" a="1"/>
  <c r="C272" i="12" s="1"/>
  <c r="D210" i="12"/>
  <c r="D174" i="12"/>
  <c r="J298" i="12"/>
  <c r="D262" i="12" a="1"/>
  <c r="D262" i="12" s="1"/>
  <c r="C293" i="12"/>
  <c r="J304" i="12"/>
  <c r="J263" i="12"/>
  <c r="J316" i="12"/>
  <c r="J271" i="12"/>
  <c r="D272" i="12" a="1"/>
  <c r="D272" i="12" s="1"/>
  <c r="C275" i="12" a="1"/>
  <c r="C275" i="12" s="1"/>
  <c r="D286" i="12"/>
  <c r="D293" i="12"/>
  <c r="D190" i="12"/>
  <c r="C284" i="12"/>
  <c r="D183" i="12"/>
  <c r="C328" i="12"/>
  <c r="C313" i="12"/>
  <c r="D211" i="12"/>
  <c r="D319" i="12"/>
  <c r="D266" i="12" a="1"/>
  <c r="D266" i="12" s="1"/>
  <c r="E266" i="12" s="1"/>
  <c r="C291" i="12"/>
  <c r="J276" i="12"/>
  <c r="J300" i="12"/>
  <c r="D267" i="12" a="1"/>
  <c r="D267" i="12" s="1"/>
  <c r="D268" i="12" a="1"/>
  <c r="D268" i="12" s="1"/>
  <c r="E268" i="12" s="1"/>
  <c r="C260" i="12" a="1"/>
  <c r="C260" i="12" s="1"/>
  <c r="D290" i="12"/>
  <c r="D297" i="12"/>
  <c r="C285" i="12"/>
  <c r="D180" i="12"/>
  <c r="C288" i="12"/>
  <c r="D325" i="12"/>
  <c r="E325" i="12" s="1"/>
  <c r="C332" i="12"/>
  <c r="D326" i="12"/>
  <c r="O258" i="12"/>
  <c r="D277" i="12" a="1"/>
  <c r="D277" i="12" s="1"/>
  <c r="D264" i="12" a="1"/>
  <c r="D264" i="12" s="1"/>
  <c r="D164" i="12" a="1"/>
  <c r="D164" i="12" s="1"/>
  <c r="O61" i="11"/>
  <c r="D294" i="12"/>
  <c r="D301" i="12"/>
  <c r="C297" i="12"/>
  <c r="C292" i="12"/>
  <c r="D186" i="12"/>
  <c r="D329" i="12"/>
  <c r="D317" i="12"/>
  <c r="D202" i="12"/>
  <c r="C270" i="12" a="1"/>
  <c r="C270" i="12" s="1"/>
  <c r="D179" i="12"/>
  <c r="J315" i="12"/>
  <c r="O296" i="12"/>
  <c r="C259" i="12" a="1"/>
  <c r="C259" i="12" s="1"/>
  <c r="D160" i="12" a="1"/>
  <c r="D160" i="12" s="1"/>
  <c r="N61" i="11"/>
  <c r="AL61" i="11"/>
  <c r="Y61" i="11"/>
  <c r="D298" i="12"/>
  <c r="D305" i="12"/>
  <c r="D194" i="12"/>
  <c r="D313" i="12"/>
  <c r="D207" i="12"/>
  <c r="D206" i="12"/>
  <c r="U61" i="11"/>
  <c r="D288" i="12"/>
  <c r="C300" i="12"/>
  <c r="C289" i="12"/>
  <c r="D219" i="12"/>
  <c r="D273" i="12" a="1"/>
  <c r="D273" i="12" s="1"/>
  <c r="BH14" i="13"/>
  <c r="M61" i="11"/>
  <c r="C304" i="12"/>
  <c r="Q61" i="11"/>
  <c r="AE61" i="11"/>
  <c r="AF61" i="11"/>
  <c r="AB61" i="11"/>
  <c r="R61" i="11"/>
  <c r="L61" i="11"/>
  <c r="W61" i="11"/>
  <c r="AI61" i="11"/>
  <c r="AD61" i="11"/>
  <c r="V61" i="11"/>
  <c r="AA61" i="11"/>
  <c r="AC61" i="11"/>
  <c r="X61" i="11"/>
  <c r="AG61" i="11"/>
  <c r="Z61" i="11"/>
  <c r="L13" i="11"/>
  <c r="L12" i="11"/>
  <c r="P10" i="11"/>
  <c r="Q12" i="11"/>
  <c r="BI16" i="13"/>
  <c r="AM10" i="13"/>
  <c r="AM19" i="13"/>
  <c r="AP19" i="13"/>
  <c r="AN9" i="13"/>
  <c r="AN11" i="13"/>
  <c r="AM11" i="13"/>
  <c r="BI15" i="13"/>
  <c r="BJ15" i="13"/>
  <c r="E310" i="12"/>
  <c r="BJ13" i="13"/>
  <c r="BK15" i="13"/>
  <c r="AM17" i="13"/>
  <c r="BK10" i="13"/>
  <c r="BH19" i="13"/>
  <c r="AL10" i="13"/>
  <c r="BJ10" i="13"/>
  <c r="P14" i="11"/>
  <c r="J134" i="12"/>
  <c r="E283" i="12"/>
  <c r="AL17" i="13"/>
  <c r="P11" i="11"/>
  <c r="L11" i="11"/>
  <c r="P13" i="11"/>
  <c r="H132" i="12"/>
  <c r="J249" i="12"/>
  <c r="AP9" i="13"/>
  <c r="BJ12" i="13"/>
  <c r="E146" i="12"/>
  <c r="I242" i="12"/>
  <c r="E200" i="12"/>
  <c r="E173" i="12"/>
  <c r="D237" i="12"/>
  <c r="E242" i="12"/>
  <c r="E256" i="12"/>
  <c r="E234" i="12"/>
  <c r="BG11" i="13"/>
  <c r="BH13" i="13"/>
  <c r="AN17" i="13"/>
  <c r="AP11" i="13"/>
  <c r="AP18" i="13"/>
  <c r="BJ19" i="13"/>
  <c r="AN19" i="13"/>
  <c r="BK12" i="13"/>
  <c r="AP10" i="13"/>
  <c r="BG13" i="13"/>
  <c r="BH12" i="13"/>
  <c r="BI19" i="13"/>
  <c r="BK13" i="13"/>
  <c r="BI11" i="13"/>
  <c r="AO19" i="13"/>
  <c r="AW20" i="13"/>
  <c r="BH11" i="13"/>
  <c r="AL8" i="13"/>
  <c r="AN15" i="13"/>
  <c r="AO12" i="13"/>
  <c r="C251" i="12"/>
  <c r="E245" i="12"/>
  <c r="BG9" i="13"/>
  <c r="J136" i="12"/>
  <c r="J246" i="12"/>
  <c r="J250" i="12"/>
  <c r="AO17" i="13"/>
  <c r="H245" i="12"/>
  <c r="J140" i="12"/>
  <c r="BH8" i="13"/>
  <c r="AL18" i="13"/>
  <c r="BH10" i="13"/>
  <c r="E228" i="12"/>
  <c r="J137" i="12"/>
  <c r="D141" i="12"/>
  <c r="J133" i="12"/>
  <c r="E132" i="12"/>
  <c r="I132" i="12"/>
  <c r="BG8" i="13"/>
  <c r="BJ9" i="13"/>
  <c r="J247" i="12"/>
  <c r="AM8" i="13"/>
  <c r="AO18" i="13"/>
  <c r="AM18" i="13"/>
  <c r="AN12" i="13"/>
  <c r="BI9" i="13"/>
  <c r="BI17" i="13"/>
  <c r="AM14" i="13"/>
  <c r="AF20" i="13"/>
  <c r="AG20" i="13"/>
  <c r="AK20" i="13"/>
  <c r="BI8" i="13"/>
  <c r="BK8" i="13"/>
  <c r="AL12" i="13"/>
  <c r="AP15" i="13"/>
  <c r="AM12" i="13"/>
  <c r="BK17" i="13"/>
  <c r="J244" i="12"/>
  <c r="H138" i="12"/>
  <c r="I138" i="12"/>
  <c r="BH17" i="13"/>
  <c r="J139" i="12"/>
  <c r="AL14" i="13"/>
  <c r="AH20" i="13"/>
  <c r="AM13" i="13"/>
  <c r="AX20" i="13"/>
  <c r="E124" i="12"/>
  <c r="AP12" i="13"/>
  <c r="AM15" i="13"/>
  <c r="BJ17" i="13"/>
  <c r="H135" i="12"/>
  <c r="AE21" i="13"/>
  <c r="AV20" i="13"/>
  <c r="C141" i="12"/>
  <c r="E135" i="12"/>
  <c r="C127" i="12"/>
  <c r="J243" i="12"/>
  <c r="AI20" i="13"/>
  <c r="BH9" i="13"/>
  <c r="BG17" i="13"/>
  <c r="AV21" i="13"/>
  <c r="AW21" i="13"/>
  <c r="AU21" i="13"/>
  <c r="AX21" i="13"/>
  <c r="BD20" i="13"/>
  <c r="BC20" i="13"/>
  <c r="AZ21" i="13"/>
  <c r="BE21" i="13" s="1"/>
  <c r="BB20" i="13"/>
  <c r="BF20" i="13"/>
  <c r="BA20" i="13"/>
  <c r="AL15" i="13"/>
  <c r="AO13" i="13"/>
  <c r="AO14" i="13"/>
  <c r="AP13" i="13"/>
  <c r="Z20" i="13"/>
  <c r="AB20" i="13"/>
  <c r="Y21" i="13"/>
  <c r="AD21" i="13" s="1"/>
  <c r="AA20" i="13"/>
  <c r="AP20" i="13"/>
  <c r="AC20" i="13"/>
  <c r="AL13" i="13"/>
  <c r="AN14" i="13"/>
  <c r="AN13" i="13"/>
  <c r="AP14" i="13"/>
  <c r="E248" i="12"/>
  <c r="H248" i="12"/>
  <c r="I248" i="12"/>
  <c r="D251" i="12"/>
  <c r="H242" i="12"/>
  <c r="C237" i="12"/>
  <c r="I245" i="12"/>
  <c r="E231" i="12"/>
  <c r="E118" i="12"/>
  <c r="D127" i="12"/>
  <c r="E121" i="12"/>
  <c r="I135" i="12"/>
  <c r="E138" i="12"/>
  <c r="L14" i="11"/>
  <c r="M10" i="11"/>
  <c r="E296" i="12" l="1"/>
  <c r="E284" i="12"/>
  <c r="AG21" i="13"/>
  <c r="AJ21" i="13"/>
  <c r="E259" i="12"/>
  <c r="E315" i="12"/>
  <c r="BG20" i="13"/>
  <c r="E295" i="12"/>
  <c r="E327" i="12"/>
  <c r="E291" i="12"/>
  <c r="E320" i="12"/>
  <c r="E275" i="12"/>
  <c r="E289" i="12"/>
  <c r="E300" i="12"/>
  <c r="E274" i="12"/>
  <c r="E316" i="12"/>
  <c r="E285" i="12"/>
  <c r="E277" i="12"/>
  <c r="E262" i="12"/>
  <c r="E269" i="12"/>
  <c r="E305" i="12"/>
  <c r="E326" i="12"/>
  <c r="E303" i="12"/>
  <c r="E299" i="12"/>
  <c r="E293" i="12"/>
  <c r="E312" i="12"/>
  <c r="E272" i="12"/>
  <c r="E318" i="12"/>
  <c r="E265" i="12"/>
  <c r="E331" i="12"/>
  <c r="E273" i="12"/>
  <c r="E324" i="12"/>
  <c r="E298" i="12"/>
  <c r="E263" i="12"/>
  <c r="E329" i="12"/>
  <c r="E264" i="12"/>
  <c r="E314" i="12"/>
  <c r="E276" i="12"/>
  <c r="E294" i="12"/>
  <c r="E328" i="12"/>
  <c r="E261" i="12"/>
  <c r="E302" i="12"/>
  <c r="E287" i="12"/>
  <c r="E292" i="12"/>
  <c r="E319" i="12"/>
  <c r="E304" i="12"/>
  <c r="E257" i="12"/>
  <c r="E322" i="12"/>
  <c r="E313" i="12"/>
  <c r="E297" i="12"/>
  <c r="E258" i="12"/>
  <c r="E301" i="12"/>
  <c r="E286" i="12"/>
  <c r="E332" i="12"/>
  <c r="E270" i="12"/>
  <c r="E323" i="12"/>
  <c r="E317" i="12"/>
  <c r="E290" i="12"/>
  <c r="E260" i="12"/>
  <c r="E271" i="12"/>
  <c r="E288" i="12"/>
  <c r="E267" i="12"/>
  <c r="J242" i="12"/>
  <c r="J132" i="12"/>
  <c r="E251" i="12"/>
  <c r="H251" i="12"/>
  <c r="I141" i="12"/>
  <c r="J245" i="12"/>
  <c r="BI20" i="13"/>
  <c r="AI21" i="13"/>
  <c r="AM20" i="13"/>
  <c r="J138" i="12"/>
  <c r="AH21" i="13"/>
  <c r="AF21" i="13"/>
  <c r="J135" i="12"/>
  <c r="E141" i="12"/>
  <c r="AL20" i="13"/>
  <c r="BJ20" i="13"/>
  <c r="AO20" i="13"/>
  <c r="H141" i="12"/>
  <c r="AN20" i="13"/>
  <c r="E127" i="12"/>
  <c r="BH20" i="13"/>
  <c r="BK20" i="13"/>
  <c r="BB21" i="13"/>
  <c r="BH21" i="13" s="1"/>
  <c r="BA21" i="13"/>
  <c r="BG21" i="13" s="1"/>
  <c r="BF21" i="13"/>
  <c r="BK21" i="13"/>
  <c r="BD21" i="13"/>
  <c r="BJ21" i="13" s="1"/>
  <c r="BC21" i="13"/>
  <c r="BI21" i="13" s="1"/>
  <c r="AB21" i="13"/>
  <c r="AA21" i="13"/>
  <c r="AM21" i="13" s="1"/>
  <c r="Z21" i="13"/>
  <c r="AC21" i="13"/>
  <c r="AK21" i="13"/>
  <c r="E237" i="12"/>
  <c r="J248" i="12"/>
  <c r="I251" i="12"/>
  <c r="AO21" i="13" l="1"/>
  <c r="J141" i="12"/>
  <c r="J251" i="12"/>
  <c r="AL21" i="13"/>
  <c r="AN21" i="13"/>
  <c r="AP21" i="13"/>
  <c r="D27" i="13" l="1"/>
  <c r="D28" i="13"/>
  <c r="D9" i="13" s="1"/>
  <c r="I9" i="13" s="1"/>
  <c r="D29" i="13"/>
  <c r="D30" i="13"/>
  <c r="D11" i="13" s="1"/>
  <c r="I11" i="13" s="1"/>
  <c r="D31" i="13"/>
  <c r="D32" i="13"/>
  <c r="D33" i="13"/>
  <c r="D34" i="13"/>
  <c r="D35" i="13"/>
  <c r="D36" i="13"/>
  <c r="D17" i="13" s="1"/>
  <c r="I17" i="13" s="1"/>
  <c r="D37" i="13"/>
  <c r="D38" i="13"/>
  <c r="J14" i="13" l="1"/>
  <c r="O14" i="13" s="1"/>
  <c r="J19" i="13"/>
  <c r="O19" i="13" s="1"/>
  <c r="F29" i="13"/>
  <c r="D10" i="13"/>
  <c r="I10" i="13" s="1"/>
  <c r="J15" i="13"/>
  <c r="O15" i="13" s="1"/>
  <c r="D8" i="13"/>
  <c r="I8" i="13" s="1"/>
  <c r="J13" i="13"/>
  <c r="O13" i="13" s="1"/>
  <c r="D18" i="13"/>
  <c r="I18" i="13" s="1"/>
  <c r="H9" i="13"/>
  <c r="E9" i="13"/>
  <c r="F9" i="13"/>
  <c r="G9" i="13"/>
  <c r="J16" i="13"/>
  <c r="O16" i="13" s="1"/>
  <c r="H35" i="13"/>
  <c r="D16" i="13"/>
  <c r="I16" i="13" s="1"/>
  <c r="J9" i="13"/>
  <c r="O9" i="13" s="1"/>
  <c r="J17" i="13"/>
  <c r="O17" i="13" s="1"/>
  <c r="J8" i="13"/>
  <c r="O8" i="13" s="1"/>
  <c r="J18" i="13"/>
  <c r="O18" i="13" s="1"/>
  <c r="D12" i="13"/>
  <c r="I12" i="13" s="1"/>
  <c r="J10" i="13"/>
  <c r="O10" i="13" s="1"/>
  <c r="J11" i="13"/>
  <c r="O11" i="13" s="1"/>
  <c r="D15" i="13"/>
  <c r="I15" i="13" s="1"/>
  <c r="G38" i="13"/>
  <c r="D19" i="13"/>
  <c r="G33" i="13"/>
  <c r="D14" i="13"/>
  <c r="I14" i="13" s="1"/>
  <c r="D13" i="13"/>
  <c r="I13" i="13" s="1"/>
  <c r="J12" i="13"/>
  <c r="O12" i="13" s="1"/>
  <c r="P36" i="13"/>
  <c r="P30" i="13"/>
  <c r="P28" i="13"/>
  <c r="I29" i="13"/>
  <c r="U29" i="13" s="1"/>
  <c r="P37" i="13"/>
  <c r="G28" i="13"/>
  <c r="F35" i="13"/>
  <c r="G29" i="13"/>
  <c r="I35" i="13"/>
  <c r="H29" i="13"/>
  <c r="H28" i="13"/>
  <c r="I33" i="13"/>
  <c r="I38" i="13"/>
  <c r="D39" i="13"/>
  <c r="D40" i="13" s="1"/>
  <c r="H33" i="13"/>
  <c r="P32" i="13"/>
  <c r="P34" i="13"/>
  <c r="I28" i="13"/>
  <c r="H38" i="13"/>
  <c r="P33" i="13"/>
  <c r="E35" i="13"/>
  <c r="P38" i="13"/>
  <c r="E33" i="13"/>
  <c r="E38" i="13"/>
  <c r="P31" i="13"/>
  <c r="E28" i="13"/>
  <c r="E29" i="13"/>
  <c r="F33" i="13"/>
  <c r="G35" i="13"/>
  <c r="F38" i="13"/>
  <c r="F28" i="13"/>
  <c r="P27" i="13"/>
  <c r="P29" i="13"/>
  <c r="P35" i="13"/>
  <c r="U8" i="13" l="1"/>
  <c r="I19" i="13"/>
  <c r="S38" i="13"/>
  <c r="R29" i="13"/>
  <c r="Q29" i="13"/>
  <c r="U35" i="13"/>
  <c r="P40" i="13"/>
  <c r="U28" i="13"/>
  <c r="U38" i="13"/>
  <c r="S33" i="13"/>
  <c r="T35" i="13"/>
  <c r="M15" i="13"/>
  <c r="K15" i="13"/>
  <c r="N15" i="13"/>
  <c r="L15" i="13"/>
  <c r="P15" i="13"/>
  <c r="N12" i="13"/>
  <c r="M12" i="13"/>
  <c r="K12" i="13"/>
  <c r="L12" i="13"/>
  <c r="P12" i="13"/>
  <c r="H14" i="13"/>
  <c r="G14" i="13"/>
  <c r="E14" i="13"/>
  <c r="F14" i="13"/>
  <c r="M11" i="13"/>
  <c r="L11" i="13"/>
  <c r="K11" i="13"/>
  <c r="N11" i="13"/>
  <c r="P11" i="13"/>
  <c r="M8" i="13"/>
  <c r="N8" i="13"/>
  <c r="L8" i="13"/>
  <c r="K8" i="13"/>
  <c r="J20" i="13"/>
  <c r="O20" i="13" s="1"/>
  <c r="P8" i="13"/>
  <c r="F10" i="13"/>
  <c r="H10" i="13"/>
  <c r="E10" i="13"/>
  <c r="G10" i="13"/>
  <c r="H19" i="13"/>
  <c r="G19" i="13"/>
  <c r="F19" i="13"/>
  <c r="E19" i="13"/>
  <c r="K10" i="13"/>
  <c r="N10" i="13"/>
  <c r="M10" i="13"/>
  <c r="L10" i="13"/>
  <c r="P10" i="13"/>
  <c r="M17" i="13"/>
  <c r="L17" i="13"/>
  <c r="N17" i="13"/>
  <c r="K17" i="13"/>
  <c r="P17" i="13"/>
  <c r="K18" i="13"/>
  <c r="M18" i="13"/>
  <c r="N18" i="13"/>
  <c r="L18" i="13"/>
  <c r="P18" i="13"/>
  <c r="K13" i="13"/>
  <c r="L13" i="13"/>
  <c r="N13" i="13"/>
  <c r="M13" i="13"/>
  <c r="P13" i="13"/>
  <c r="K19" i="13"/>
  <c r="M19" i="13"/>
  <c r="L19" i="13"/>
  <c r="N19" i="13"/>
  <c r="P19" i="13"/>
  <c r="R33" i="13"/>
  <c r="U9" i="13"/>
  <c r="K9" i="13"/>
  <c r="Q9" i="13" s="1"/>
  <c r="M9" i="13"/>
  <c r="S9" i="13" s="1"/>
  <c r="N9" i="13"/>
  <c r="T9" i="13" s="1"/>
  <c r="L9" i="13"/>
  <c r="R9" i="13" s="1"/>
  <c r="P9" i="13"/>
  <c r="H16" i="13"/>
  <c r="F16" i="13"/>
  <c r="E16" i="13"/>
  <c r="G16" i="13"/>
  <c r="N16" i="13"/>
  <c r="M16" i="13"/>
  <c r="K16" i="13"/>
  <c r="L16" i="13"/>
  <c r="P16" i="13"/>
  <c r="D20" i="13"/>
  <c r="I20" i="13" s="1"/>
  <c r="K14" i="13"/>
  <c r="M14" i="13"/>
  <c r="N14" i="13"/>
  <c r="L14" i="13"/>
  <c r="P14" i="13"/>
  <c r="S29" i="13"/>
  <c r="T33" i="13"/>
  <c r="Q33" i="13"/>
  <c r="R35" i="13"/>
  <c r="T28" i="13"/>
  <c r="Q38" i="13"/>
  <c r="Q35" i="13"/>
  <c r="P39" i="13"/>
  <c r="S28" i="13"/>
  <c r="R38" i="13"/>
  <c r="S35" i="13"/>
  <c r="T29" i="13"/>
  <c r="U33" i="13"/>
  <c r="T38" i="13"/>
  <c r="Q28" i="13"/>
  <c r="R28" i="13"/>
  <c r="S19" i="13" l="1"/>
  <c r="Q16" i="13"/>
  <c r="Q14" i="13"/>
  <c r="R14" i="13"/>
  <c r="T14" i="13"/>
  <c r="R19" i="13"/>
  <c r="Q10" i="13"/>
  <c r="R16" i="13"/>
  <c r="U16" i="13"/>
  <c r="U19" i="13"/>
  <c r="R10" i="13"/>
  <c r="Q19" i="13"/>
  <c r="U14" i="13"/>
  <c r="T16" i="13"/>
  <c r="S16" i="13"/>
  <c r="U10" i="13"/>
  <c r="S10" i="13"/>
  <c r="S14" i="13"/>
  <c r="L20" i="13"/>
  <c r="N20" i="13"/>
  <c r="K20" i="13"/>
  <c r="M20" i="13"/>
  <c r="J21" i="13"/>
  <c r="O21" i="13" s="1"/>
  <c r="P20" i="13"/>
  <c r="D21" i="13"/>
  <c r="I21" i="13" s="1"/>
  <c r="T19" i="13"/>
  <c r="T10" i="13"/>
  <c r="E21" i="13" l="1"/>
  <c r="K21" i="13"/>
  <c r="L21" i="13"/>
  <c r="N21" i="13"/>
  <c r="M21" i="13"/>
  <c r="P21" i="13"/>
  <c r="N90" i="12"/>
  <c r="M90" i="12"/>
  <c r="I90" i="12"/>
  <c r="H90" i="12"/>
  <c r="N63" i="12"/>
  <c r="M63" i="12"/>
  <c r="I63" i="12"/>
  <c r="H63" i="12"/>
  <c r="M36" i="12"/>
  <c r="N36" i="12"/>
  <c r="I36" i="12"/>
  <c r="H36" i="12"/>
  <c r="D30" i="12"/>
  <c r="D29" i="12"/>
  <c r="D27" i="12"/>
  <c r="D26" i="12"/>
  <c r="D24" i="12"/>
  <c r="D23" i="12"/>
  <c r="C30" i="12"/>
  <c r="C29" i="12"/>
  <c r="D16" i="12"/>
  <c r="D15" i="12"/>
  <c r="D13" i="12"/>
  <c r="D12" i="12"/>
  <c r="D10" i="12"/>
  <c r="C16" i="12"/>
  <c r="C15" i="12"/>
  <c r="C13" i="12"/>
  <c r="C12" i="12"/>
  <c r="C10" i="12"/>
  <c r="D9" i="12"/>
  <c r="C9" i="12"/>
  <c r="N58" i="12" l="1"/>
  <c r="N52" i="12"/>
  <c r="N45" i="12"/>
  <c r="M158" i="12"/>
  <c r="N51" i="12"/>
  <c r="N57" i="12"/>
  <c r="N50" i="12"/>
  <c r="N44" i="12"/>
  <c r="M157" i="12"/>
  <c r="N49" i="12"/>
  <c r="N56" i="12"/>
  <c r="N48" i="12"/>
  <c r="M168" i="12"/>
  <c r="M155" i="12"/>
  <c r="N55" i="12"/>
  <c r="N54" i="12"/>
  <c r="N47" i="12"/>
  <c r="M167" i="12"/>
  <c r="M154" i="12"/>
  <c r="N53" i="12"/>
  <c r="M58" i="12"/>
  <c r="M45" i="12"/>
  <c r="M57" i="12"/>
  <c r="M44" i="12"/>
  <c r="M48" i="12"/>
  <c r="M47" i="12"/>
  <c r="H194" i="12"/>
  <c r="H181" i="12"/>
  <c r="J181" i="12" s="1"/>
  <c r="H178" i="12"/>
  <c r="H191" i="12"/>
  <c r="J191" i="12" s="1"/>
  <c r="H187" i="12"/>
  <c r="J187" i="12" s="1"/>
  <c r="H184" i="12"/>
  <c r="H188" i="12"/>
  <c r="H175" i="12"/>
  <c r="J175" i="12" s="1"/>
  <c r="H193" i="12"/>
  <c r="J193" i="12" s="1"/>
  <c r="H190" i="12"/>
  <c r="H177" i="12"/>
  <c r="J177" i="12" s="1"/>
  <c r="H174" i="12"/>
  <c r="H183" i="12"/>
  <c r="J183" i="12" s="1"/>
  <c r="H180" i="12"/>
  <c r="H189" i="12"/>
  <c r="J189" i="12" s="1"/>
  <c r="H186" i="12"/>
  <c r="H195" i="12"/>
  <c r="J195" i="12" s="1"/>
  <c r="H192" i="12"/>
  <c r="H179" i="12"/>
  <c r="J179" i="12" s="1"/>
  <c r="H176" i="12"/>
  <c r="H185" i="12"/>
  <c r="J185" i="12" s="1"/>
  <c r="H182" i="12"/>
  <c r="M187" i="12"/>
  <c r="O187" i="12" s="1"/>
  <c r="M184" i="12"/>
  <c r="O184" i="12" s="1"/>
  <c r="M178" i="12"/>
  <c r="O178" i="12" s="1"/>
  <c r="M193" i="12"/>
  <c r="O193" i="12" s="1"/>
  <c r="M190" i="12"/>
  <c r="O190" i="12" s="1"/>
  <c r="M177" i="12"/>
  <c r="O177" i="12" s="1"/>
  <c r="M174" i="12"/>
  <c r="O174" i="12" s="1"/>
  <c r="M183" i="12"/>
  <c r="O183" i="12" s="1"/>
  <c r="M180" i="12"/>
  <c r="O180" i="12" s="1"/>
  <c r="M189" i="12"/>
  <c r="O189" i="12" s="1"/>
  <c r="M186" i="12"/>
  <c r="O186" i="12" s="1"/>
  <c r="M181" i="12"/>
  <c r="O181" i="12" s="1"/>
  <c r="M195" i="12"/>
  <c r="O195" i="12" s="1"/>
  <c r="M192" i="12"/>
  <c r="O192" i="12" s="1"/>
  <c r="M179" i="12"/>
  <c r="O179" i="12" s="1"/>
  <c r="M176" i="12"/>
  <c r="O176" i="12" s="1"/>
  <c r="M185" i="12"/>
  <c r="O185" i="12" s="1"/>
  <c r="M182" i="12"/>
  <c r="O182" i="12" s="1"/>
  <c r="M191" i="12"/>
  <c r="O191" i="12" s="1"/>
  <c r="M188" i="12"/>
  <c r="O188" i="12" s="1"/>
  <c r="M175" i="12"/>
  <c r="O175" i="12" s="1"/>
  <c r="M194" i="12"/>
  <c r="O194" i="12" s="1"/>
  <c r="H164" i="12"/>
  <c r="J164" i="12" s="1"/>
  <c r="H161" i="12"/>
  <c r="J161" i="12" s="1"/>
  <c r="H150" i="12"/>
  <c r="J150" i="12" s="1"/>
  <c r="H158" i="12"/>
  <c r="J158" i="12" s="1"/>
  <c r="H167" i="12"/>
  <c r="J167" i="12" s="1"/>
  <c r="H154" i="12"/>
  <c r="J154" i="12" s="1"/>
  <c r="H148" i="12"/>
  <c r="J148" i="12" s="1"/>
  <c r="H160" i="12"/>
  <c r="J160" i="12" s="1"/>
  <c r="H157" i="12"/>
  <c r="J157" i="12" s="1"/>
  <c r="H152" i="12"/>
  <c r="H166" i="12"/>
  <c r="J166" i="12" s="1"/>
  <c r="H163" i="12"/>
  <c r="J163" i="12" s="1"/>
  <c r="H155" i="12"/>
  <c r="J155" i="12" s="1"/>
  <c r="H156" i="12"/>
  <c r="J156" i="12" s="1"/>
  <c r="H147" i="12"/>
  <c r="H162" i="12"/>
  <c r="J162" i="12" s="1"/>
  <c r="H159" i="12"/>
  <c r="J159" i="12" s="1"/>
  <c r="H151" i="12"/>
  <c r="H149" i="12"/>
  <c r="J149" i="12" s="1"/>
  <c r="H168" i="12"/>
  <c r="J168" i="12" s="1"/>
  <c r="H165" i="12"/>
  <c r="J165" i="12" s="1"/>
  <c r="H153" i="12"/>
  <c r="J153" i="12" s="1"/>
  <c r="H217" i="12"/>
  <c r="J217" i="12" s="1"/>
  <c r="H214" i="12"/>
  <c r="J214" i="12" s="1"/>
  <c r="H201" i="12"/>
  <c r="J201" i="12" s="1"/>
  <c r="H208" i="12"/>
  <c r="H220" i="12"/>
  <c r="J220" i="12" s="1"/>
  <c r="H207" i="12"/>
  <c r="J207" i="12" s="1"/>
  <c r="H204" i="12"/>
  <c r="H213" i="12"/>
  <c r="J213" i="12" s="1"/>
  <c r="H210" i="12"/>
  <c r="H219" i="12"/>
  <c r="J219" i="12" s="1"/>
  <c r="H216" i="12"/>
  <c r="J216" i="12" s="1"/>
  <c r="H203" i="12"/>
  <c r="J203" i="12" s="1"/>
  <c r="H222" i="12"/>
  <c r="J222" i="12" s="1"/>
  <c r="H209" i="12"/>
  <c r="J209" i="12" s="1"/>
  <c r="H206" i="12"/>
  <c r="H215" i="12"/>
  <c r="J215" i="12" s="1"/>
  <c r="H212" i="12"/>
  <c r="H211" i="12"/>
  <c r="J211" i="12" s="1"/>
  <c r="H221" i="12"/>
  <c r="J221" i="12" s="1"/>
  <c r="H218" i="12"/>
  <c r="J218" i="12" s="1"/>
  <c r="H205" i="12"/>
  <c r="J205" i="12" s="1"/>
  <c r="H202" i="12"/>
  <c r="O154" i="12"/>
  <c r="M148" i="12"/>
  <c r="M160" i="12"/>
  <c r="O160" i="12" s="1"/>
  <c r="M152" i="12"/>
  <c r="O152" i="12" s="1"/>
  <c r="M161" i="12"/>
  <c r="M166" i="12"/>
  <c r="O166" i="12" s="1"/>
  <c r="M163" i="12"/>
  <c r="M156" i="12"/>
  <c r="O156" i="12" s="1"/>
  <c r="M147" i="12"/>
  <c r="O147" i="12" s="1"/>
  <c r="M164" i="12"/>
  <c r="O164" i="12" s="1"/>
  <c r="M162" i="12"/>
  <c r="O162" i="12" s="1"/>
  <c r="M159" i="12"/>
  <c r="M151" i="12"/>
  <c r="O151" i="12" s="1"/>
  <c r="M149" i="12"/>
  <c r="O149" i="12" s="1"/>
  <c r="O168" i="12"/>
  <c r="M165" i="12"/>
  <c r="M153" i="12"/>
  <c r="O153" i="12" s="1"/>
  <c r="M150" i="12"/>
  <c r="O150" i="12" s="1"/>
  <c r="O158" i="12"/>
  <c r="M220" i="12"/>
  <c r="M207" i="12"/>
  <c r="O207" i="12" s="1"/>
  <c r="M204" i="12"/>
  <c r="O204" i="12" s="1"/>
  <c r="M213" i="12"/>
  <c r="O213" i="12" s="1"/>
  <c r="M210" i="12"/>
  <c r="O210" i="12" s="1"/>
  <c r="M214" i="12"/>
  <c r="M201" i="12"/>
  <c r="O201" i="12" s="1"/>
  <c r="M219" i="12"/>
  <c r="O219" i="12" s="1"/>
  <c r="M216" i="12"/>
  <c r="M203" i="12"/>
  <c r="O203" i="12" s="1"/>
  <c r="M222" i="12"/>
  <c r="M209" i="12"/>
  <c r="O209" i="12" s="1"/>
  <c r="M206" i="12"/>
  <c r="O206" i="12" s="1"/>
  <c r="M215" i="12"/>
  <c r="O215" i="12" s="1"/>
  <c r="M212" i="12"/>
  <c r="O212" i="12" s="1"/>
  <c r="M221" i="12"/>
  <c r="O221" i="12" s="1"/>
  <c r="M218" i="12"/>
  <c r="M205" i="12"/>
  <c r="O205" i="12" s="1"/>
  <c r="M202" i="12"/>
  <c r="O202" i="12" s="1"/>
  <c r="M217" i="12"/>
  <c r="O217" i="12" s="1"/>
  <c r="M211" i="12"/>
  <c r="O211" i="12" s="1"/>
  <c r="M208" i="12"/>
  <c r="O208" i="12" s="1"/>
  <c r="H79" i="12"/>
  <c r="H82" i="12"/>
  <c r="I85" i="12"/>
  <c r="I82" i="12"/>
  <c r="N66" i="12"/>
  <c r="N82" i="12"/>
  <c r="H41" i="12"/>
  <c r="H55" i="12"/>
  <c r="H105" i="12"/>
  <c r="H109" i="12"/>
  <c r="I52" i="12"/>
  <c r="I55" i="12"/>
  <c r="I108" i="12"/>
  <c r="I109" i="12"/>
  <c r="M112" i="12"/>
  <c r="M109" i="12"/>
  <c r="M80" i="12"/>
  <c r="M82" i="12"/>
  <c r="M50" i="12"/>
  <c r="M55" i="12"/>
  <c r="N112" i="12"/>
  <c r="N109" i="12"/>
  <c r="C14" i="12"/>
  <c r="N39" i="12"/>
  <c r="I29" i="12"/>
  <c r="H66" i="12"/>
  <c r="I64" i="12"/>
  <c r="I78" i="12"/>
  <c r="H98" i="12"/>
  <c r="H110" i="12"/>
  <c r="I26" i="12"/>
  <c r="H39" i="12"/>
  <c r="H40" i="12"/>
  <c r="E29" i="12"/>
  <c r="I38" i="12"/>
  <c r="M100" i="12"/>
  <c r="I30" i="12"/>
  <c r="M42" i="12"/>
  <c r="M49" i="12"/>
  <c r="N42" i="12"/>
  <c r="H67" i="12"/>
  <c r="N43" i="12"/>
  <c r="I23" i="12"/>
  <c r="I40" i="12"/>
  <c r="N37" i="12"/>
  <c r="I56" i="12"/>
  <c r="N46" i="12"/>
  <c r="H68" i="12"/>
  <c r="I67" i="12"/>
  <c r="I79" i="12"/>
  <c r="C90" i="12"/>
  <c r="H99" i="12"/>
  <c r="I91" i="12"/>
  <c r="I102" i="12"/>
  <c r="M91" i="12"/>
  <c r="M102" i="12"/>
  <c r="I112" i="12"/>
  <c r="I41" i="12"/>
  <c r="I47" i="12"/>
  <c r="I58" i="12"/>
  <c r="I69" i="12"/>
  <c r="I80" i="12"/>
  <c r="H100" i="12"/>
  <c r="I93" i="12"/>
  <c r="I103" i="12"/>
  <c r="M92" i="12"/>
  <c r="M104" i="12"/>
  <c r="I101" i="12"/>
  <c r="I42" i="12"/>
  <c r="N40" i="12"/>
  <c r="H52" i="12"/>
  <c r="D36" i="12"/>
  <c r="I70" i="12"/>
  <c r="I84" i="12"/>
  <c r="H101" i="12"/>
  <c r="I94" i="12"/>
  <c r="I104" i="12"/>
  <c r="M94" i="12"/>
  <c r="M105" i="12"/>
  <c r="I27" i="12"/>
  <c r="H30" i="12"/>
  <c r="I43" i="12"/>
  <c r="N41" i="12"/>
  <c r="H53" i="12"/>
  <c r="M51" i="12"/>
  <c r="D63" i="12"/>
  <c r="H76" i="12"/>
  <c r="I71" i="12"/>
  <c r="H91" i="12"/>
  <c r="H104" i="12"/>
  <c r="I95" i="12"/>
  <c r="I105" i="12"/>
  <c r="M96" i="12"/>
  <c r="M106" i="12"/>
  <c r="I54" i="12"/>
  <c r="H29" i="12"/>
  <c r="M39" i="12"/>
  <c r="H54" i="12"/>
  <c r="M53" i="12"/>
  <c r="I72" i="12"/>
  <c r="H92" i="12"/>
  <c r="H106" i="12"/>
  <c r="I96" i="12"/>
  <c r="I107" i="12"/>
  <c r="M97" i="12"/>
  <c r="M107" i="12"/>
  <c r="I24" i="12"/>
  <c r="M40" i="12"/>
  <c r="I51" i="12"/>
  <c r="M54" i="12"/>
  <c r="I75" i="12"/>
  <c r="H93" i="12"/>
  <c r="H107" i="12"/>
  <c r="I97" i="12"/>
  <c r="I110" i="12"/>
  <c r="M98" i="12"/>
  <c r="M108" i="12"/>
  <c r="M41" i="12"/>
  <c r="I45" i="12"/>
  <c r="I53" i="12"/>
  <c r="M52" i="12"/>
  <c r="I77" i="12"/>
  <c r="H96" i="12"/>
  <c r="H108" i="12"/>
  <c r="I99" i="12"/>
  <c r="I111" i="12"/>
  <c r="M99" i="12"/>
  <c r="M111" i="12"/>
  <c r="O63" i="12"/>
  <c r="M78" i="12"/>
  <c r="M77" i="12"/>
  <c r="M69" i="12"/>
  <c r="M76" i="12"/>
  <c r="M68" i="12"/>
  <c r="M73" i="12"/>
  <c r="M67" i="12"/>
  <c r="M66" i="12"/>
  <c r="M81" i="12"/>
  <c r="M65" i="12"/>
  <c r="N81" i="12"/>
  <c r="N73" i="12"/>
  <c r="N65" i="12"/>
  <c r="N80" i="12"/>
  <c r="N72" i="12"/>
  <c r="N64" i="12"/>
  <c r="N79" i="12"/>
  <c r="N71" i="12"/>
  <c r="N78" i="12"/>
  <c r="N70" i="12"/>
  <c r="N77" i="12"/>
  <c r="N69" i="12"/>
  <c r="N85" i="12"/>
  <c r="N76" i="12"/>
  <c r="N68" i="12"/>
  <c r="N67" i="12"/>
  <c r="E30" i="12"/>
  <c r="M64" i="12"/>
  <c r="N74" i="12"/>
  <c r="M70" i="12"/>
  <c r="N75" i="12"/>
  <c r="M71" i="12"/>
  <c r="N83" i="12"/>
  <c r="M72" i="12"/>
  <c r="N84" i="12"/>
  <c r="C11" i="12"/>
  <c r="M79" i="12"/>
  <c r="J36" i="12"/>
  <c r="H42" i="12"/>
  <c r="H69" i="12"/>
  <c r="H77" i="12"/>
  <c r="N94" i="12"/>
  <c r="N102" i="12"/>
  <c r="O36" i="12"/>
  <c r="H43" i="12"/>
  <c r="H46" i="12"/>
  <c r="M43" i="12"/>
  <c r="I48" i="12"/>
  <c r="I49" i="12"/>
  <c r="H70" i="12"/>
  <c r="H78" i="12"/>
  <c r="I65" i="12"/>
  <c r="I73" i="12"/>
  <c r="I81" i="12"/>
  <c r="H94" i="12"/>
  <c r="H102" i="12"/>
  <c r="H111" i="12"/>
  <c r="N95" i="12"/>
  <c r="N103" i="12"/>
  <c r="O90" i="12"/>
  <c r="I37" i="12"/>
  <c r="I46" i="12"/>
  <c r="M46" i="12"/>
  <c r="H49" i="12"/>
  <c r="I50" i="12"/>
  <c r="I57" i="12"/>
  <c r="I66" i="12"/>
  <c r="I74" i="12"/>
  <c r="D74" i="12" s="1"/>
  <c r="I83" i="12"/>
  <c r="H95" i="12"/>
  <c r="H103" i="12"/>
  <c r="H112" i="12"/>
  <c r="I98" i="12"/>
  <c r="I106" i="12"/>
  <c r="M93" i="12"/>
  <c r="M101" i="12"/>
  <c r="M110" i="12"/>
  <c r="N96" i="12"/>
  <c r="N104" i="12"/>
  <c r="N105" i="12"/>
  <c r="C63" i="12"/>
  <c r="H37" i="12"/>
  <c r="M37" i="12"/>
  <c r="H50" i="12"/>
  <c r="H64" i="12"/>
  <c r="H80" i="12"/>
  <c r="N97" i="12"/>
  <c r="C8" i="12"/>
  <c r="H38" i="12"/>
  <c r="I39" i="12"/>
  <c r="M38" i="12"/>
  <c r="N38" i="12"/>
  <c r="I44" i="12"/>
  <c r="H51" i="12"/>
  <c r="C36" i="12"/>
  <c r="H65" i="12"/>
  <c r="H73" i="12"/>
  <c r="H81" i="12"/>
  <c r="I68" i="12"/>
  <c r="I76" i="12"/>
  <c r="H97" i="12"/>
  <c r="I92" i="12"/>
  <c r="I100" i="12"/>
  <c r="M95" i="12"/>
  <c r="M103" i="12"/>
  <c r="N98" i="12"/>
  <c r="N106" i="12"/>
  <c r="N91" i="12"/>
  <c r="N99" i="12"/>
  <c r="N107" i="12"/>
  <c r="N92" i="12"/>
  <c r="N100" i="12"/>
  <c r="N108" i="12"/>
  <c r="N93" i="12"/>
  <c r="N101" i="12"/>
  <c r="N110" i="12"/>
  <c r="N111" i="12"/>
  <c r="D90" i="12"/>
  <c r="J90" i="12"/>
  <c r="J63" i="12"/>
  <c r="D14" i="12"/>
  <c r="E15" i="12"/>
  <c r="E10" i="12"/>
  <c r="E12" i="12"/>
  <c r="D8" i="12"/>
  <c r="E13" i="12"/>
  <c r="E16" i="12"/>
  <c r="E9" i="12"/>
  <c r="D11" i="12"/>
  <c r="D28" i="12"/>
  <c r="D25" i="12"/>
  <c r="D22" i="12"/>
  <c r="C28" i="12"/>
  <c r="C104" i="12" l="1"/>
  <c r="C107" i="12"/>
  <c r="D70" i="12"/>
  <c r="D65" i="12"/>
  <c r="C98" i="12"/>
  <c r="C92" i="12"/>
  <c r="C96" i="12"/>
  <c r="C112" i="12"/>
  <c r="C102" i="12"/>
  <c r="C108" i="12"/>
  <c r="C106" i="12"/>
  <c r="C100" i="12"/>
  <c r="C97" i="12"/>
  <c r="C91" i="12"/>
  <c r="C94" i="12"/>
  <c r="D77" i="12"/>
  <c r="D76" i="12"/>
  <c r="D101" i="12"/>
  <c r="C99" i="12"/>
  <c r="C65" i="12"/>
  <c r="C77" i="12"/>
  <c r="C109" i="12"/>
  <c r="C182" i="12"/>
  <c r="E182" i="12" s="1"/>
  <c r="D111" i="12"/>
  <c r="C212" i="12"/>
  <c r="D92" i="12"/>
  <c r="C111" i="12"/>
  <c r="D72" i="12"/>
  <c r="D104" i="12"/>
  <c r="D80" i="12"/>
  <c r="C206" i="12"/>
  <c r="E206" i="12" s="1"/>
  <c r="C194" i="12"/>
  <c r="E194" i="12" s="1"/>
  <c r="O107" i="12"/>
  <c r="D108" i="12"/>
  <c r="C204" i="12"/>
  <c r="E204" i="12" s="1"/>
  <c r="C103" i="12"/>
  <c r="C69" i="12"/>
  <c r="D97" i="12"/>
  <c r="D95" i="12"/>
  <c r="D94" i="12"/>
  <c r="D69" i="12"/>
  <c r="D102" i="12"/>
  <c r="D82" i="12"/>
  <c r="C202" i="12"/>
  <c r="C186" i="12"/>
  <c r="E186" i="12" s="1"/>
  <c r="C221" i="12"/>
  <c r="E221" i="12" s="1"/>
  <c r="C80" i="12"/>
  <c r="C95" i="12"/>
  <c r="C101" i="12"/>
  <c r="D91" i="12"/>
  <c r="D85" i="12"/>
  <c r="C188" i="12"/>
  <c r="E188" i="12" s="1"/>
  <c r="D110" i="12"/>
  <c r="D68" i="12"/>
  <c r="D83" i="12"/>
  <c r="D81" i="12"/>
  <c r="C93" i="12"/>
  <c r="D84" i="12"/>
  <c r="C110" i="12"/>
  <c r="C82" i="12"/>
  <c r="C208" i="12"/>
  <c r="E208" i="12" s="1"/>
  <c r="C180" i="12"/>
  <c r="E180" i="12" s="1"/>
  <c r="C184" i="12"/>
  <c r="E184" i="12" s="1"/>
  <c r="C185" i="12"/>
  <c r="E185" i="12" s="1"/>
  <c r="C81" i="12"/>
  <c r="D73" i="12"/>
  <c r="D75" i="12"/>
  <c r="D107" i="12"/>
  <c r="D71" i="12"/>
  <c r="C105" i="12"/>
  <c r="C79" i="12"/>
  <c r="C73" i="12"/>
  <c r="D66" i="12"/>
  <c r="C64" i="12"/>
  <c r="D99" i="12"/>
  <c r="D96" i="12"/>
  <c r="C76" i="12"/>
  <c r="D103" i="12"/>
  <c r="D79" i="12"/>
  <c r="D78" i="12"/>
  <c r="C176" i="12"/>
  <c r="E176" i="12" s="1"/>
  <c r="C174" i="12"/>
  <c r="E174" i="12" s="1"/>
  <c r="D105" i="12"/>
  <c r="D106" i="12"/>
  <c r="D93" i="12"/>
  <c r="D112" i="12"/>
  <c r="D67" i="12"/>
  <c r="D64" i="12"/>
  <c r="C210" i="12"/>
  <c r="E210" i="12" s="1"/>
  <c r="C178" i="12"/>
  <c r="E178" i="12" s="1"/>
  <c r="D100" i="12"/>
  <c r="C78" i="12"/>
  <c r="D98" i="12"/>
  <c r="C70" i="12"/>
  <c r="C68" i="12"/>
  <c r="C67" i="12"/>
  <c r="C66" i="12"/>
  <c r="D109" i="12"/>
  <c r="C192" i="12"/>
  <c r="C190" i="12"/>
  <c r="E190" i="12" s="1"/>
  <c r="C195" i="12"/>
  <c r="E195" i="12" s="1"/>
  <c r="C213" i="12"/>
  <c r="E213" i="12" s="1"/>
  <c r="C215" i="12"/>
  <c r="E215" i="12" s="1"/>
  <c r="C217" i="12"/>
  <c r="E217" i="12" s="1"/>
  <c r="C219" i="12"/>
  <c r="E219" i="12" s="1"/>
  <c r="C189" i="12"/>
  <c r="E189" i="12" s="1"/>
  <c r="C179" i="12"/>
  <c r="E179" i="12" s="1"/>
  <c r="C193" i="12"/>
  <c r="E193" i="12" s="1"/>
  <c r="O76" i="12"/>
  <c r="C214" i="12"/>
  <c r="E214" i="12" s="1"/>
  <c r="C175" i="12"/>
  <c r="E175" i="12" s="1"/>
  <c r="C201" i="12"/>
  <c r="E201" i="12" s="1"/>
  <c r="C218" i="12"/>
  <c r="E218" i="12" s="1"/>
  <c r="C203" i="12"/>
  <c r="E203" i="12" s="1"/>
  <c r="C216" i="12"/>
  <c r="E216" i="12" s="1"/>
  <c r="C183" i="12"/>
  <c r="E183" i="12" s="1"/>
  <c r="C205" i="12"/>
  <c r="E205" i="12" s="1"/>
  <c r="C222" i="12"/>
  <c r="E222" i="12" s="1"/>
  <c r="C207" i="12"/>
  <c r="E207" i="12" s="1"/>
  <c r="C220" i="12"/>
  <c r="E220" i="12" s="1"/>
  <c r="C177" i="12"/>
  <c r="E177" i="12" s="1"/>
  <c r="C187" i="12"/>
  <c r="E187" i="12" s="1"/>
  <c r="C209" i="12"/>
  <c r="E209" i="12" s="1"/>
  <c r="C211" i="12"/>
  <c r="E211" i="12" s="1"/>
  <c r="C181" i="12"/>
  <c r="E181" i="12" s="1"/>
  <c r="C191" i="12"/>
  <c r="E191" i="12" s="1"/>
  <c r="E14" i="12"/>
  <c r="J40" i="12"/>
  <c r="O77" i="12"/>
  <c r="J108" i="12"/>
  <c r="O68" i="12"/>
  <c r="J110" i="12"/>
  <c r="J105" i="12"/>
  <c r="O112" i="12"/>
  <c r="C162" i="12" a="1"/>
  <c r="C162" i="12" s="1"/>
  <c r="E162" i="12" s="1"/>
  <c r="O218" i="12"/>
  <c r="O220" i="12"/>
  <c r="C161" i="12" a="1"/>
  <c r="C161" i="12" s="1"/>
  <c r="E161" i="12" s="1"/>
  <c r="O161" i="12"/>
  <c r="J186" i="12"/>
  <c r="O216" i="12"/>
  <c r="J29" i="12"/>
  <c r="C155" i="12" a="1"/>
  <c r="C155" i="12" s="1"/>
  <c r="E155" i="12" s="1"/>
  <c r="O155" i="12"/>
  <c r="C159" i="12" a="1"/>
  <c r="C159" i="12" s="1"/>
  <c r="E159" i="12" s="1"/>
  <c r="O159" i="12"/>
  <c r="J208" i="12"/>
  <c r="C151" i="12" a="1"/>
  <c r="C151" i="12" s="1"/>
  <c r="E151" i="12" s="1"/>
  <c r="J151" i="12"/>
  <c r="C166" i="12" a="1"/>
  <c r="C166" i="12" s="1"/>
  <c r="E166" i="12" s="1"/>
  <c r="J188" i="12"/>
  <c r="J69" i="12"/>
  <c r="C157" i="12" a="1"/>
  <c r="C157" i="12" s="1"/>
  <c r="E157" i="12" s="1"/>
  <c r="O157" i="12"/>
  <c r="C156" i="12" a="1"/>
  <c r="C156" i="12" s="1"/>
  <c r="E156" i="12" s="1"/>
  <c r="C153" i="12" a="1"/>
  <c r="C153" i="12" s="1"/>
  <c r="E153" i="12" s="1"/>
  <c r="J182" i="12"/>
  <c r="J180" i="12"/>
  <c r="J184" i="12"/>
  <c r="O214" i="12"/>
  <c r="C148" i="12" a="1"/>
  <c r="C148" i="12" s="1"/>
  <c r="E148" i="12" s="1"/>
  <c r="O148" i="12"/>
  <c r="E212" i="12"/>
  <c r="J212" i="12"/>
  <c r="J210" i="12"/>
  <c r="C152" i="12" a="1"/>
  <c r="C152" i="12" s="1"/>
  <c r="E152" i="12" s="1"/>
  <c r="J152" i="12"/>
  <c r="C150" i="12" a="1"/>
  <c r="C150" i="12" s="1"/>
  <c r="E150" i="12" s="1"/>
  <c r="J176" i="12"/>
  <c r="J174" i="12"/>
  <c r="O50" i="12"/>
  <c r="J43" i="12"/>
  <c r="C165" i="12" a="1"/>
  <c r="C165" i="12" s="1"/>
  <c r="E165" i="12" s="1"/>
  <c r="O165" i="12"/>
  <c r="C149" i="12" a="1"/>
  <c r="C149" i="12" s="1"/>
  <c r="E149" i="12" s="1"/>
  <c r="C168" i="12" a="1"/>
  <c r="C168" i="12" s="1"/>
  <c r="E168" i="12" s="1"/>
  <c r="C154" i="12" a="1"/>
  <c r="C154" i="12" s="1"/>
  <c r="E154" i="12" s="1"/>
  <c r="J178" i="12"/>
  <c r="O222" i="12"/>
  <c r="C163" i="12" a="1"/>
  <c r="C163" i="12" s="1"/>
  <c r="E163" i="12" s="1"/>
  <c r="O163" i="12"/>
  <c r="C167" i="12" a="1"/>
  <c r="C167" i="12" s="1"/>
  <c r="E167" i="12" s="1"/>
  <c r="O167" i="12"/>
  <c r="J206" i="12"/>
  <c r="J204" i="12"/>
  <c r="C160" i="12" a="1"/>
  <c r="C160" i="12" s="1"/>
  <c r="E160" i="12" s="1"/>
  <c r="C164" i="12" a="1"/>
  <c r="C164" i="12" s="1"/>
  <c r="E164" i="12" s="1"/>
  <c r="C158" i="12" a="1"/>
  <c r="C158" i="12" s="1"/>
  <c r="E158" i="12" s="1"/>
  <c r="E192" i="12"/>
  <c r="J192" i="12"/>
  <c r="J190" i="12"/>
  <c r="E202" i="12"/>
  <c r="J202" i="12"/>
  <c r="C147" i="12" a="1"/>
  <c r="C147" i="12" s="1"/>
  <c r="E147" i="12" s="1"/>
  <c r="J147" i="12"/>
  <c r="J194" i="12"/>
  <c r="J52" i="12"/>
  <c r="J79" i="12"/>
  <c r="O80" i="12"/>
  <c r="O100" i="12"/>
  <c r="O92" i="12"/>
  <c r="J92" i="12"/>
  <c r="J109" i="12"/>
  <c r="O66" i="12"/>
  <c r="J41" i="12"/>
  <c r="J100" i="12"/>
  <c r="O109" i="12"/>
  <c r="J80" i="12"/>
  <c r="J112" i="12"/>
  <c r="J55" i="12"/>
  <c r="J82" i="12"/>
  <c r="O40" i="12"/>
  <c r="O55" i="12"/>
  <c r="C55" i="12"/>
  <c r="O53" i="12"/>
  <c r="O82" i="12"/>
  <c r="H28" i="12"/>
  <c r="O41" i="12"/>
  <c r="O39" i="12"/>
  <c r="J91" i="12"/>
  <c r="J78" i="12"/>
  <c r="O71" i="12"/>
  <c r="O94" i="12"/>
  <c r="J99" i="12"/>
  <c r="O37" i="12"/>
  <c r="J93" i="12"/>
  <c r="E90" i="12"/>
  <c r="J53" i="12"/>
  <c r="J64" i="12"/>
  <c r="O51" i="12"/>
  <c r="O43" i="12"/>
  <c r="J103" i="12"/>
  <c r="O111" i="12"/>
  <c r="J97" i="12"/>
  <c r="J98" i="12"/>
  <c r="J38" i="12"/>
  <c r="O96" i="12"/>
  <c r="O64" i="12"/>
  <c r="O73" i="12"/>
  <c r="O78" i="12"/>
  <c r="C17" i="12"/>
  <c r="J54" i="12"/>
  <c r="J96" i="12"/>
  <c r="J30" i="12"/>
  <c r="J101" i="12"/>
  <c r="O54" i="12"/>
  <c r="O42" i="12"/>
  <c r="E8" i="12"/>
  <c r="J51" i="12"/>
  <c r="J70" i="12"/>
  <c r="J76" i="12"/>
  <c r="J106" i="12"/>
  <c r="O98" i="12"/>
  <c r="O108" i="12"/>
  <c r="J77" i="12"/>
  <c r="O70" i="12"/>
  <c r="O49" i="12"/>
  <c r="C50" i="12"/>
  <c r="C51" i="12"/>
  <c r="C53" i="12"/>
  <c r="J65" i="12"/>
  <c r="C54" i="12"/>
  <c r="O97" i="12"/>
  <c r="O105" i="12"/>
  <c r="J68" i="12"/>
  <c r="J73" i="12"/>
  <c r="O67" i="12"/>
  <c r="C41" i="12"/>
  <c r="O102" i="12"/>
  <c r="J104" i="12"/>
  <c r="J37" i="12"/>
  <c r="O91" i="12"/>
  <c r="J46" i="12"/>
  <c r="J67" i="12"/>
  <c r="J94" i="12"/>
  <c r="J39" i="12"/>
  <c r="O93" i="12"/>
  <c r="J95" i="12"/>
  <c r="O101" i="12"/>
  <c r="O79" i="12"/>
  <c r="O81" i="12"/>
  <c r="O52" i="12"/>
  <c r="J50" i="12"/>
  <c r="O95" i="12"/>
  <c r="C49" i="12"/>
  <c r="O104" i="12"/>
  <c r="O46" i="12"/>
  <c r="E63" i="12"/>
  <c r="J102" i="12"/>
  <c r="O110" i="12"/>
  <c r="J111" i="12"/>
  <c r="O69" i="12"/>
  <c r="O103" i="12"/>
  <c r="J49" i="12"/>
  <c r="J66" i="12"/>
  <c r="C46" i="12"/>
  <c r="J107" i="12"/>
  <c r="C42" i="12"/>
  <c r="C38" i="12"/>
  <c r="C52" i="12"/>
  <c r="J81" i="12"/>
  <c r="O99" i="12"/>
  <c r="C37" i="12"/>
  <c r="C39" i="12"/>
  <c r="O38" i="12"/>
  <c r="C40" i="12"/>
  <c r="E36" i="12"/>
  <c r="I25" i="12"/>
  <c r="I28" i="12"/>
  <c r="E28" i="12"/>
  <c r="O106" i="12"/>
  <c r="I22" i="12"/>
  <c r="E11" i="12"/>
  <c r="O65" i="12"/>
  <c r="J42" i="12"/>
  <c r="O72" i="12"/>
  <c r="C43" i="12"/>
  <c r="D17" i="12"/>
  <c r="D31" i="12"/>
  <c r="E64" i="12" l="1"/>
  <c r="E78" i="12"/>
  <c r="E70" i="12"/>
  <c r="E112" i="12"/>
  <c r="E102" i="12"/>
  <c r="E105" i="12"/>
  <c r="E91" i="12"/>
  <c r="E82" i="12"/>
  <c r="E66" i="12"/>
  <c r="E94" i="12"/>
  <c r="J28" i="12"/>
  <c r="E97" i="12"/>
  <c r="E93" i="12"/>
  <c r="E73" i="12"/>
  <c r="E67" i="12"/>
  <c r="E109" i="12"/>
  <c r="E100" i="12"/>
  <c r="E76" i="12"/>
  <c r="E17" i="12"/>
  <c r="E96" i="12"/>
  <c r="E101" i="12"/>
  <c r="E65" i="12"/>
  <c r="E104" i="12"/>
  <c r="E103" i="12"/>
  <c r="E106" i="12"/>
  <c r="E68" i="12"/>
  <c r="E92" i="12"/>
  <c r="E77" i="12"/>
  <c r="E69" i="12"/>
  <c r="E79" i="12"/>
  <c r="E95" i="12"/>
  <c r="E108" i="12"/>
  <c r="E98" i="12"/>
  <c r="E80" i="12"/>
  <c r="E107" i="12"/>
  <c r="E110" i="12"/>
  <c r="E81" i="12"/>
  <c r="E99" i="12"/>
  <c r="E111" i="12"/>
  <c r="I31" i="12"/>
  <c r="B4" i="11" l="1"/>
  <c r="G35" i="11" l="1" a="1"/>
  <c r="G35" i="11" s="1"/>
  <c r="C35" i="11" a="1"/>
  <c r="C35" i="11" s="1"/>
  <c r="E35" i="11" s="1"/>
  <c r="G34" i="11" a="1"/>
  <c r="G34" i="11" s="1"/>
  <c r="C34" i="11" a="1"/>
  <c r="C34" i="11" s="1"/>
  <c r="G36" i="11" a="1"/>
  <c r="G36" i="11" s="1"/>
  <c r="C36" i="11" a="1"/>
  <c r="C36" i="11" s="1"/>
  <c r="G33" i="11" a="1"/>
  <c r="G33" i="11" s="1"/>
  <c r="C33" i="11" a="1"/>
  <c r="C33" i="11" s="1"/>
  <c r="AE36" i="11" a="1"/>
  <c r="AE36" i="11" s="1"/>
  <c r="AE33" i="11" a="1"/>
  <c r="AE33" i="11" s="1"/>
  <c r="S36" i="11" a="1"/>
  <c r="S36" i="11" s="1"/>
  <c r="S33" i="11" a="1"/>
  <c r="S33" i="11" s="1"/>
  <c r="K35" i="11" a="1"/>
  <c r="K35" i="11" s="1"/>
  <c r="AA35" i="11" a="1"/>
  <c r="AA35" i="11" s="1"/>
  <c r="K33" i="11" a="1"/>
  <c r="K33" i="11" s="1"/>
  <c r="W35" i="11" a="1"/>
  <c r="W35" i="11" s="1"/>
  <c r="O36" i="11" a="1"/>
  <c r="O36" i="11" s="1"/>
  <c r="O34" i="11" a="1"/>
  <c r="O34" i="11" s="1"/>
  <c r="W34" i="11" a="1"/>
  <c r="W34" i="11" s="1"/>
  <c r="AA36" i="11" a="1"/>
  <c r="AA36" i="11" s="1"/>
  <c r="AE34" i="11" a="1"/>
  <c r="AE34" i="11" s="1"/>
  <c r="AA33" i="11" a="1"/>
  <c r="AA33" i="11" s="1"/>
  <c r="S34" i="11" a="1"/>
  <c r="S34" i="11" s="1"/>
  <c r="K36" i="11" a="1"/>
  <c r="K36" i="11" s="1"/>
  <c r="O33" i="11" a="1"/>
  <c r="O33" i="11" s="1"/>
  <c r="AE35" i="11" a="1"/>
  <c r="AE35" i="11" s="1"/>
  <c r="W36" i="11" a="1"/>
  <c r="W36" i="11" s="1"/>
  <c r="S35" i="11" a="1"/>
  <c r="S35" i="11" s="1"/>
  <c r="W33" i="11" a="1"/>
  <c r="W33" i="11" s="1"/>
  <c r="K34" i="11" a="1"/>
  <c r="K34" i="11" s="1"/>
  <c r="AA34" i="11" a="1"/>
  <c r="AA34" i="11" s="1"/>
  <c r="O35" i="11" a="1"/>
  <c r="O35" i="11" s="1"/>
  <c r="AC34" i="11" l="1"/>
  <c r="AB34" i="11"/>
  <c r="U34" i="11"/>
  <c r="T34" i="11"/>
  <c r="M33" i="11"/>
  <c r="L33" i="11"/>
  <c r="L36" i="11"/>
  <c r="M36" i="11"/>
  <c r="M34" i="11"/>
  <c r="L34" i="11"/>
  <c r="AB33" i="11"/>
  <c r="AC33" i="11"/>
  <c r="AB35" i="11"/>
  <c r="AC35" i="11"/>
  <c r="Q35" i="11"/>
  <c r="P35" i="11"/>
  <c r="AF34" i="11"/>
  <c r="AG34" i="11"/>
  <c r="M35" i="11"/>
  <c r="L35" i="11"/>
  <c r="T35" i="11"/>
  <c r="U35" i="11"/>
  <c r="AB36" i="11"/>
  <c r="AC36" i="11"/>
  <c r="T33" i="11"/>
  <c r="U33" i="11"/>
  <c r="X35" i="11"/>
  <c r="Y35" i="11"/>
  <c r="Y36" i="11"/>
  <c r="X36" i="11"/>
  <c r="X34" i="11"/>
  <c r="Y34" i="11"/>
  <c r="U36" i="11"/>
  <c r="T36" i="11"/>
  <c r="X33" i="11"/>
  <c r="Y33" i="11"/>
  <c r="AF35" i="11"/>
  <c r="AG35" i="11"/>
  <c r="P34" i="11"/>
  <c r="Q34" i="11"/>
  <c r="AF33" i="11"/>
  <c r="AG33" i="11"/>
  <c r="P33" i="11"/>
  <c r="Q33" i="11"/>
  <c r="P36" i="11"/>
  <c r="Q36" i="11"/>
  <c r="AF36" i="11"/>
  <c r="AG36" i="11"/>
  <c r="D35" i="11"/>
  <c r="B47" i="11" l="1"/>
  <c r="B46" i="11"/>
  <c r="B45" i="11"/>
  <c r="B44" i="11"/>
  <c r="B43" i="11"/>
  <c r="F13" i="11" l="1"/>
  <c r="I13" i="11" s="1"/>
  <c r="F12" i="11"/>
  <c r="F14" i="11"/>
  <c r="F11" i="11"/>
  <c r="F10" i="11"/>
  <c r="D44" i="11" a="1"/>
  <c r="D44" i="11" s="1"/>
  <c r="D45" i="11" a="1"/>
  <c r="D45" i="11" s="1"/>
  <c r="D46" i="11" a="1"/>
  <c r="D46" i="11" s="1"/>
  <c r="D43" i="11" a="1"/>
  <c r="D43" i="11" s="1"/>
  <c r="D47" i="11" a="1"/>
  <c r="D47" i="11" s="1"/>
  <c r="B13" i="11"/>
  <c r="D13" i="11" s="1"/>
  <c r="B48" i="11"/>
  <c r="F34" i="11"/>
  <c r="F33" i="11"/>
  <c r="B12" i="11"/>
  <c r="E12" i="11" s="1"/>
  <c r="F35" i="11"/>
  <c r="B14" i="11"/>
  <c r="E14" i="11" s="1"/>
  <c r="F36" i="11"/>
  <c r="B11" i="11"/>
  <c r="E11" i="11" s="1"/>
  <c r="B10" i="11"/>
  <c r="E10" i="11" s="1"/>
  <c r="H13" i="11" l="1"/>
  <c r="I14" i="11"/>
  <c r="H14" i="11"/>
  <c r="H11" i="11"/>
  <c r="I11" i="11"/>
  <c r="I12" i="11"/>
  <c r="H12" i="11"/>
  <c r="I10" i="11"/>
  <c r="H10" i="11"/>
  <c r="D48" i="11" a="1"/>
  <c r="D48" i="11" s="1"/>
  <c r="E13" i="11"/>
  <c r="D14" i="11"/>
  <c r="H35" i="11"/>
  <c r="I35" i="11"/>
  <c r="H33" i="11"/>
  <c r="I33" i="11"/>
  <c r="D12" i="11"/>
  <c r="I34" i="11"/>
  <c r="H34" i="11"/>
  <c r="I36" i="11"/>
  <c r="H36" i="11"/>
  <c r="D10" i="11"/>
  <c r="D11" i="11"/>
  <c r="W59" i="3" l="1"/>
  <c r="Y59" i="3" s="1"/>
  <c r="AB59" i="3" s="1"/>
  <c r="X59" i="3"/>
  <c r="W58" i="3"/>
  <c r="Z58" i="3" s="1"/>
  <c r="X58" i="3"/>
  <c r="W57" i="3"/>
  <c r="X57" i="3"/>
  <c r="W56" i="3"/>
  <c r="Z56" i="3" s="1"/>
  <c r="X56" i="3"/>
  <c r="W55" i="3"/>
  <c r="Z55" i="3" s="1"/>
  <c r="AA55" i="3" s="1"/>
  <c r="AC55" i="3" s="1"/>
  <c r="X55" i="3"/>
  <c r="W54" i="3"/>
  <c r="X54" i="3"/>
  <c r="Y54" i="3" s="1"/>
  <c r="AB54" i="3" s="1"/>
  <c r="Z54" i="3"/>
  <c r="W53" i="3"/>
  <c r="X53" i="3"/>
  <c r="W52" i="3"/>
  <c r="X52" i="3"/>
  <c r="W51" i="3"/>
  <c r="X51" i="3"/>
  <c r="W50" i="3"/>
  <c r="Z50" i="3" s="1"/>
  <c r="X50" i="3"/>
  <c r="W49" i="3"/>
  <c r="Z49" i="3" s="1"/>
  <c r="X49" i="3"/>
  <c r="W48" i="3"/>
  <c r="Z48" i="3" s="1"/>
  <c r="X48" i="3"/>
  <c r="W47" i="3"/>
  <c r="X47" i="3"/>
  <c r="Y47" i="3"/>
  <c r="AB47" i="3" s="1"/>
  <c r="Z47" i="3"/>
  <c r="AA47" i="3" s="1"/>
  <c r="AC47" i="3" s="1"/>
  <c r="W46" i="3"/>
  <c r="X46" i="3"/>
  <c r="W45" i="3"/>
  <c r="Y45" i="3" s="1"/>
  <c r="AB45" i="3" s="1"/>
  <c r="X45" i="3"/>
  <c r="W44" i="3"/>
  <c r="X44" i="3"/>
  <c r="W43" i="3"/>
  <c r="X43" i="3"/>
  <c r="W42" i="3"/>
  <c r="X42" i="3"/>
  <c r="W41" i="3"/>
  <c r="X41" i="3"/>
  <c r="W40" i="3"/>
  <c r="X40" i="3"/>
  <c r="W39" i="3"/>
  <c r="X39" i="3"/>
  <c r="W38" i="3"/>
  <c r="X38" i="3"/>
  <c r="W37" i="3"/>
  <c r="X37" i="3"/>
  <c r="W36" i="3"/>
  <c r="X36" i="3"/>
  <c r="W35" i="3"/>
  <c r="X35" i="3"/>
  <c r="W34" i="3"/>
  <c r="X34" i="3"/>
  <c r="W33" i="3"/>
  <c r="X33" i="3"/>
  <c r="W32" i="3"/>
  <c r="X32" i="3"/>
  <c r="G32" i="13" s="1"/>
  <c r="W31" i="3"/>
  <c r="X31" i="3"/>
  <c r="W30" i="3"/>
  <c r="X30" i="3"/>
  <c r="W29" i="3"/>
  <c r="X29" i="3"/>
  <c r="G34" i="13" s="1"/>
  <c r="Z45" i="3" l="1"/>
  <c r="AA45" i="3" s="1"/>
  <c r="AC45" i="3" s="1"/>
  <c r="Y51" i="3"/>
  <c r="AB51" i="3" s="1"/>
  <c r="AA49" i="3"/>
  <c r="AC49" i="3" s="1"/>
  <c r="Y48" i="3"/>
  <c r="AB48" i="3" s="1"/>
  <c r="Y55" i="3"/>
  <c r="AB55" i="3" s="1"/>
  <c r="M83" i="12"/>
  <c r="O83" i="12" s="1"/>
  <c r="G13" i="13"/>
  <c r="S13" i="13" s="1"/>
  <c r="S32" i="13"/>
  <c r="G15" i="13"/>
  <c r="S15" i="13" s="1"/>
  <c r="S34" i="13"/>
  <c r="Y33" i="3"/>
  <c r="AB33" i="3" s="1"/>
  <c r="Y37" i="3"/>
  <c r="Z40" i="3"/>
  <c r="AA40" i="3" s="1"/>
  <c r="Y35" i="3"/>
  <c r="Z31" i="3"/>
  <c r="Z37" i="3"/>
  <c r="Z42" i="3"/>
  <c r="Z29" i="3"/>
  <c r="E34" i="13"/>
  <c r="Z32" i="3"/>
  <c r="E32" i="13"/>
  <c r="AB37" i="3"/>
  <c r="Y31" i="3"/>
  <c r="Z41" i="3"/>
  <c r="Z33" i="3"/>
  <c r="Z34" i="3"/>
  <c r="AA34" i="3" s="1"/>
  <c r="M74" i="12"/>
  <c r="O74" i="12" s="1"/>
  <c r="Y38" i="3"/>
  <c r="Y39" i="3"/>
  <c r="Y57" i="3"/>
  <c r="AB57" i="3" s="1"/>
  <c r="AA48" i="3"/>
  <c r="AC48" i="3" s="1"/>
  <c r="AA58" i="3"/>
  <c r="AC58" i="3" s="1"/>
  <c r="Z38" i="3"/>
  <c r="Y46" i="3"/>
  <c r="AB46" i="3" s="1"/>
  <c r="Y49" i="3"/>
  <c r="AB49" i="3" s="1"/>
  <c r="Y52" i="3"/>
  <c r="AB52" i="3" s="1"/>
  <c r="Z59" i="3"/>
  <c r="AA59" i="3" s="1"/>
  <c r="AC59" i="3" s="1"/>
  <c r="Y29" i="3"/>
  <c r="Y41" i="3"/>
  <c r="Y32" i="3"/>
  <c r="Y53" i="3"/>
  <c r="AB53" i="3" s="1"/>
  <c r="Y56" i="3"/>
  <c r="AB56" i="3" s="1"/>
  <c r="AA42" i="3"/>
  <c r="Y58" i="3"/>
  <c r="AB58" i="3" s="1"/>
  <c r="Y30" i="3"/>
  <c r="Y40" i="3"/>
  <c r="Y43" i="3"/>
  <c r="AA54" i="3"/>
  <c r="AC54" i="3" s="1"/>
  <c r="AA56" i="3"/>
  <c r="AC56" i="3" s="1"/>
  <c r="Y44" i="3"/>
  <c r="Z39" i="3"/>
  <c r="Z46" i="3"/>
  <c r="AA46" i="3" s="1"/>
  <c r="AC46" i="3" s="1"/>
  <c r="AA50" i="3"/>
  <c r="AC50" i="3" s="1"/>
  <c r="Z53" i="3"/>
  <c r="AA53" i="3" s="1"/>
  <c r="AC53" i="3" s="1"/>
  <c r="Y36" i="3"/>
  <c r="AB36" i="3" s="1"/>
  <c r="Z30" i="3"/>
  <c r="Y34" i="3"/>
  <c r="Y42" i="3"/>
  <c r="Y50" i="3"/>
  <c r="AB50" i="3" s="1"/>
  <c r="Z57" i="3"/>
  <c r="AA57" i="3" s="1"/>
  <c r="AC57" i="3" s="1"/>
  <c r="Z36" i="3"/>
  <c r="AA36" i="3" s="1"/>
  <c r="AC36" i="3" s="1"/>
  <c r="Z44" i="3"/>
  <c r="Z52" i="3"/>
  <c r="AA52" i="3" s="1"/>
  <c r="AC52" i="3" s="1"/>
  <c r="Z35" i="3"/>
  <c r="Z43" i="3"/>
  <c r="Z51" i="3"/>
  <c r="AA51" i="3" s="1"/>
  <c r="AC51" i="3" s="1"/>
  <c r="G28" i="7"/>
  <c r="G27" i="7"/>
  <c r="G26" i="7"/>
  <c r="G25" i="7"/>
  <c r="G24" i="7"/>
  <c r="G23" i="7"/>
  <c r="G22" i="7"/>
  <c r="G21" i="7"/>
  <c r="G20" i="7"/>
  <c r="G19" i="7"/>
  <c r="G18" i="7"/>
  <c r="G17" i="7"/>
  <c r="G16" i="7"/>
  <c r="G15" i="7"/>
  <c r="G14" i="7"/>
  <c r="G13" i="7"/>
  <c r="G12" i="7"/>
  <c r="G11" i="7"/>
  <c r="X28" i="3"/>
  <c r="W28" i="3"/>
  <c r="Z28" i="3" s="1"/>
  <c r="X27" i="3"/>
  <c r="G36" i="13" s="1"/>
  <c r="W27" i="3"/>
  <c r="X26" i="3"/>
  <c r="G31" i="13" s="1"/>
  <c r="W26" i="3"/>
  <c r="X25" i="3"/>
  <c r="G30" i="13" s="1"/>
  <c r="W25" i="3"/>
  <c r="X24" i="3"/>
  <c r="W24" i="3"/>
  <c r="X23" i="3"/>
  <c r="W23" i="3"/>
  <c r="Z23" i="3" s="1"/>
  <c r="X22" i="3"/>
  <c r="W22" i="3"/>
  <c r="X21" i="3"/>
  <c r="W21" i="3"/>
  <c r="X20" i="3"/>
  <c r="G27" i="13" s="1"/>
  <c r="W20" i="3"/>
  <c r="X19" i="3"/>
  <c r="W19" i="3"/>
  <c r="X18" i="3"/>
  <c r="W18" i="3"/>
  <c r="X17" i="3"/>
  <c r="W17" i="3"/>
  <c r="X16" i="3"/>
  <c r="W16" i="3"/>
  <c r="X15" i="3"/>
  <c r="W15" i="3"/>
  <c r="X14" i="3"/>
  <c r="W14" i="3"/>
  <c r="X13" i="3"/>
  <c r="W13" i="3"/>
  <c r="X12" i="3"/>
  <c r="W12" i="3"/>
  <c r="X11" i="3"/>
  <c r="H83" i="12" s="1"/>
  <c r="W11" i="3"/>
  <c r="C83" i="12" l="1"/>
  <c r="E83" i="12" s="1"/>
  <c r="H71" i="12"/>
  <c r="C71" i="12" s="1"/>
  <c r="H72" i="12"/>
  <c r="C72" i="12" s="1"/>
  <c r="O45" i="12"/>
  <c r="H44" i="12"/>
  <c r="O44" i="12"/>
  <c r="H45" i="12"/>
  <c r="S27" i="13"/>
  <c r="G11" i="13"/>
  <c r="S11" i="13" s="1"/>
  <c r="S30" i="13"/>
  <c r="J83" i="12"/>
  <c r="S31" i="13"/>
  <c r="G12" i="13"/>
  <c r="S12" i="13" s="1"/>
  <c r="M56" i="12"/>
  <c r="O56" i="12" s="1"/>
  <c r="G37" i="13"/>
  <c r="G40" i="13" s="1"/>
  <c r="H56" i="12"/>
  <c r="G17" i="13"/>
  <c r="S17" i="13" s="1"/>
  <c r="S36" i="13"/>
  <c r="AA41" i="3"/>
  <c r="Z14" i="3"/>
  <c r="AB38" i="3"/>
  <c r="Z27" i="3"/>
  <c r="F36" i="13" s="1"/>
  <c r="E36" i="13"/>
  <c r="AA30" i="3"/>
  <c r="AB30" i="3"/>
  <c r="AB39" i="3"/>
  <c r="AA33" i="3"/>
  <c r="Q34" i="13"/>
  <c r="E15" i="13"/>
  <c r="Q15" i="13" s="1"/>
  <c r="AA39" i="3"/>
  <c r="AA29" i="3"/>
  <c r="F34" i="13"/>
  <c r="Z26" i="3"/>
  <c r="F31" i="13" s="1"/>
  <c r="E31" i="13"/>
  <c r="AA43" i="3"/>
  <c r="AC34" i="3"/>
  <c r="AB44" i="3"/>
  <c r="AB31" i="3"/>
  <c r="Z12" i="3"/>
  <c r="Z16" i="3"/>
  <c r="Z20" i="3"/>
  <c r="E27" i="13"/>
  <c r="Z24" i="3"/>
  <c r="AA44" i="3"/>
  <c r="AB32" i="3"/>
  <c r="H32" i="13"/>
  <c r="AA37" i="3"/>
  <c r="AC40" i="3"/>
  <c r="Z22" i="3"/>
  <c r="AA22" i="3" s="1"/>
  <c r="AC42" i="3"/>
  <c r="Z15" i="3"/>
  <c r="AC41" i="3"/>
  <c r="E13" i="13"/>
  <c r="Q13" i="13" s="1"/>
  <c r="Q32" i="13"/>
  <c r="AA31" i="3"/>
  <c r="Z18" i="3"/>
  <c r="AB42" i="3"/>
  <c r="AB34" i="3"/>
  <c r="C27" i="12"/>
  <c r="M84" i="12"/>
  <c r="O84" i="12" s="1"/>
  <c r="H74" i="12"/>
  <c r="C74" i="12" s="1"/>
  <c r="Z19" i="3"/>
  <c r="AA19" i="3" s="1"/>
  <c r="E37" i="13"/>
  <c r="H47" i="12"/>
  <c r="O47" i="12"/>
  <c r="AA35" i="3"/>
  <c r="AA38" i="3"/>
  <c r="AB43" i="3"/>
  <c r="AB41" i="3"/>
  <c r="M75" i="12"/>
  <c r="O75" i="12" s="1"/>
  <c r="Z13" i="3"/>
  <c r="Z17" i="3"/>
  <c r="Z21" i="3"/>
  <c r="Z25" i="3"/>
  <c r="F30" i="13" s="1"/>
  <c r="E30" i="13"/>
  <c r="AB40" i="3"/>
  <c r="AB29" i="3"/>
  <c r="H34" i="13"/>
  <c r="AA32" i="3"/>
  <c r="F32" i="13"/>
  <c r="AB35" i="3"/>
  <c r="Z11" i="3"/>
  <c r="AA14" i="3"/>
  <c r="AA18" i="3"/>
  <c r="AA26" i="3"/>
  <c r="AA23" i="3"/>
  <c r="AC23" i="3" s="1"/>
  <c r="AA28" i="3"/>
  <c r="AC28" i="3" s="1"/>
  <c r="Y19" i="3"/>
  <c r="Y12" i="3"/>
  <c r="Y23" i="3"/>
  <c r="AB23" i="3" s="1"/>
  <c r="Y11" i="3"/>
  <c r="Y20" i="3"/>
  <c r="Y24" i="3"/>
  <c r="Y15" i="3"/>
  <c r="Y27" i="3"/>
  <c r="Y16" i="3"/>
  <c r="Y26" i="3"/>
  <c r="Y28" i="3"/>
  <c r="AB28" i="3" s="1"/>
  <c r="Y14" i="3"/>
  <c r="Y18" i="3"/>
  <c r="Y22" i="3"/>
  <c r="Y13" i="3"/>
  <c r="Y17" i="3"/>
  <c r="Y21" i="3"/>
  <c r="Y25" i="3"/>
  <c r="E40" i="13" l="1"/>
  <c r="C44" i="12"/>
  <c r="J44" i="12"/>
  <c r="J45" i="12"/>
  <c r="C45" i="12"/>
  <c r="E72" i="12"/>
  <c r="J72" i="12"/>
  <c r="E71" i="12"/>
  <c r="J71" i="12"/>
  <c r="S40" i="13"/>
  <c r="G39" i="13"/>
  <c r="J56" i="12"/>
  <c r="C56" i="12"/>
  <c r="G18" i="13"/>
  <c r="S18" i="13" s="1"/>
  <c r="S37" i="13"/>
  <c r="G8" i="13"/>
  <c r="S8" i="13" s="1"/>
  <c r="AA13" i="3"/>
  <c r="AC13" i="3" s="1"/>
  <c r="AA15" i="3"/>
  <c r="AC15" i="3" s="1"/>
  <c r="AA27" i="3"/>
  <c r="D36" i="11"/>
  <c r="E36" i="11"/>
  <c r="J74" i="12"/>
  <c r="E74" i="12"/>
  <c r="AA24" i="3"/>
  <c r="AC43" i="3"/>
  <c r="T34" i="13"/>
  <c r="H15" i="13"/>
  <c r="T15" i="13" s="1"/>
  <c r="E8" i="13"/>
  <c r="Q8" i="13" s="1"/>
  <c r="E39" i="13"/>
  <c r="Q27" i="13"/>
  <c r="E12" i="13"/>
  <c r="Q12" i="13" s="1"/>
  <c r="Q31" i="13"/>
  <c r="AC30" i="3"/>
  <c r="J47" i="12"/>
  <c r="C47" i="12"/>
  <c r="AC37" i="3"/>
  <c r="AA20" i="3"/>
  <c r="F27" i="13"/>
  <c r="F12" i="13"/>
  <c r="R12" i="13" s="1"/>
  <c r="R31" i="13"/>
  <c r="E17" i="13"/>
  <c r="Q17" i="13" s="1"/>
  <c r="Q36" i="13"/>
  <c r="AA25" i="3"/>
  <c r="AA11" i="3"/>
  <c r="H75" i="12"/>
  <c r="C75" i="12" s="1"/>
  <c r="H27" i="12"/>
  <c r="J27" i="12" s="1"/>
  <c r="E27" i="12"/>
  <c r="AC31" i="3"/>
  <c r="T32" i="13"/>
  <c r="H13" i="13"/>
  <c r="T13" i="13" s="1"/>
  <c r="R34" i="13"/>
  <c r="F15" i="13"/>
  <c r="R15" i="13" s="1"/>
  <c r="AC33" i="3"/>
  <c r="F17" i="13"/>
  <c r="R17" i="13" s="1"/>
  <c r="R36" i="13"/>
  <c r="AB27" i="3"/>
  <c r="H36" i="13"/>
  <c r="AC32" i="3"/>
  <c r="I32" i="13"/>
  <c r="AB18" i="3"/>
  <c r="AC19" i="3"/>
  <c r="I37" i="13"/>
  <c r="AC18" i="3"/>
  <c r="AB14" i="3"/>
  <c r="AB11" i="3"/>
  <c r="C26" i="12"/>
  <c r="H84" i="12"/>
  <c r="C84" i="12" s="1"/>
  <c r="AC14" i="3"/>
  <c r="AB25" i="3"/>
  <c r="H30" i="13"/>
  <c r="AB26" i="3"/>
  <c r="H31" i="13"/>
  <c r="AB12" i="3"/>
  <c r="AA21" i="3"/>
  <c r="E18" i="13"/>
  <c r="Q18" i="13" s="1"/>
  <c r="Q37" i="13"/>
  <c r="AA16" i="3"/>
  <c r="M85" i="12"/>
  <c r="O85" i="12" s="1"/>
  <c r="AC29" i="3"/>
  <c r="I34" i="13"/>
  <c r="AB17" i="3"/>
  <c r="AB22" i="3"/>
  <c r="C24" i="12"/>
  <c r="AB24" i="3"/>
  <c r="AC22" i="3"/>
  <c r="AB20" i="3"/>
  <c r="H27" i="13"/>
  <c r="AB21" i="3"/>
  <c r="AB16" i="3"/>
  <c r="AB19" i="3"/>
  <c r="H37" i="13"/>
  <c r="C23" i="12"/>
  <c r="O57" i="12"/>
  <c r="H57" i="12"/>
  <c r="AA17" i="3"/>
  <c r="E11" i="13"/>
  <c r="Q11" i="13" s="1"/>
  <c r="Q30" i="13"/>
  <c r="AC38" i="3"/>
  <c r="F37" i="13"/>
  <c r="H48" i="12"/>
  <c r="O48" i="12"/>
  <c r="D34" i="11"/>
  <c r="E34" i="11"/>
  <c r="AC44" i="3"/>
  <c r="AA12" i="3"/>
  <c r="AC39" i="3"/>
  <c r="F11" i="13"/>
  <c r="R11" i="13" s="1"/>
  <c r="R30" i="13"/>
  <c r="AB13" i="3"/>
  <c r="AB15" i="3"/>
  <c r="AC27" i="3"/>
  <c r="I36" i="13"/>
  <c r="AC26" i="3"/>
  <c r="I31" i="13"/>
  <c r="R32" i="13"/>
  <c r="F13" i="13"/>
  <c r="R13" i="13" s="1"/>
  <c r="AC35" i="3"/>
  <c r="E33" i="11"/>
  <c r="D33" i="11"/>
  <c r="C22" i="12" l="1"/>
  <c r="E22" i="12" s="1"/>
  <c r="H40" i="13"/>
  <c r="F40" i="13"/>
  <c r="S39" i="13"/>
  <c r="G20" i="13"/>
  <c r="S20" i="13" s="1"/>
  <c r="G21" i="13"/>
  <c r="S21" i="13" s="1"/>
  <c r="O58" i="12"/>
  <c r="H58" i="12"/>
  <c r="J58" i="12" s="1"/>
  <c r="R37" i="13"/>
  <c r="F18" i="13"/>
  <c r="R18" i="13" s="1"/>
  <c r="T27" i="13"/>
  <c r="H39" i="13"/>
  <c r="H8" i="13"/>
  <c r="T8" i="13" s="1"/>
  <c r="T31" i="13"/>
  <c r="H12" i="13"/>
  <c r="T12" i="13" s="1"/>
  <c r="E84" i="12"/>
  <c r="J84" i="12"/>
  <c r="AC20" i="3"/>
  <c r="I27" i="13"/>
  <c r="H23" i="12"/>
  <c r="J23" i="12" s="1"/>
  <c r="E23" i="12"/>
  <c r="E26" i="12"/>
  <c r="C25" i="12"/>
  <c r="H26" i="12"/>
  <c r="J26" i="12" s="1"/>
  <c r="U37" i="13"/>
  <c r="H17" i="13"/>
  <c r="T17" i="13" s="1"/>
  <c r="T36" i="13"/>
  <c r="U31" i="13"/>
  <c r="U12" i="13"/>
  <c r="U17" i="13"/>
  <c r="U36" i="13"/>
  <c r="T37" i="13"/>
  <c r="H18" i="13"/>
  <c r="T18" i="13" s="1"/>
  <c r="H11" i="13"/>
  <c r="T11" i="13" s="1"/>
  <c r="T30" i="13"/>
  <c r="U15" i="13"/>
  <c r="U34" i="13"/>
  <c r="AC24" i="3"/>
  <c r="J75" i="12"/>
  <c r="E75" i="12"/>
  <c r="Q40" i="13"/>
  <c r="Q21" i="13"/>
  <c r="AC21" i="3"/>
  <c r="U13" i="13"/>
  <c r="U32" i="13"/>
  <c r="E20" i="13"/>
  <c r="Q20" i="13" s="1"/>
  <c r="Q39" i="13"/>
  <c r="AC17" i="3"/>
  <c r="E24" i="12"/>
  <c r="H24" i="12"/>
  <c r="J24" i="12" s="1"/>
  <c r="AC11" i="3"/>
  <c r="H85" i="12"/>
  <c r="C85" i="12" s="1"/>
  <c r="AC12" i="3"/>
  <c r="J48" i="12"/>
  <c r="C48" i="12"/>
  <c r="C57" i="12"/>
  <c r="J57" i="12"/>
  <c r="AC16" i="3"/>
  <c r="AC25" i="3"/>
  <c r="I30" i="13"/>
  <c r="F39" i="13"/>
  <c r="R27" i="13"/>
  <c r="F8" i="13"/>
  <c r="R8" i="13" s="1"/>
  <c r="I40" i="13" l="1"/>
  <c r="C58" i="12"/>
  <c r="R40" i="13"/>
  <c r="F21" i="13"/>
  <c r="R21" i="13" s="1"/>
  <c r="R39" i="13"/>
  <c r="F20" i="13"/>
  <c r="R20" i="13" s="1"/>
  <c r="U18" i="13"/>
  <c r="H22" i="12"/>
  <c r="J22" i="12" s="1"/>
  <c r="C31" i="12"/>
  <c r="H20" i="13"/>
  <c r="T20" i="13" s="1"/>
  <c r="T39" i="13"/>
  <c r="U11" i="13"/>
  <c r="U30" i="13"/>
  <c r="U27" i="13"/>
  <c r="I39" i="13"/>
  <c r="J85" i="12"/>
  <c r="E85" i="12"/>
  <c r="H25" i="12"/>
  <c r="J25" i="12" s="1"/>
  <c r="E25" i="12"/>
  <c r="T40" i="13"/>
  <c r="H21" i="13"/>
  <c r="T21" i="13" s="1"/>
  <c r="U40" i="13" l="1"/>
  <c r="U21" i="13"/>
  <c r="E31" i="12"/>
  <c r="H31" i="12"/>
  <c r="J31" i="12" s="1"/>
  <c r="U20" i="13"/>
  <c r="U39" i="13"/>
  <c r="D52" i="12" l="1" a="1"/>
  <c r="D52" i="12" s="1"/>
  <c r="E52" i="12" s="1"/>
  <c r="D46" i="12" a="1"/>
  <c r="D46" i="12" s="1"/>
  <c r="E46" i="12" s="1"/>
  <c r="D43" i="12" a="1"/>
  <c r="D43" i="12" s="1"/>
  <c r="E43" i="12" s="1"/>
  <c r="D37" i="12" a="1"/>
  <c r="D37" i="12" s="1"/>
  <c r="E37" i="12" s="1"/>
  <c r="D41" i="12" a="1"/>
  <c r="D41" i="12" s="1"/>
  <c r="E41" i="12" s="1"/>
  <c r="D55" i="12" a="1"/>
  <c r="D55" i="12" s="1"/>
  <c r="E55" i="12" s="1"/>
  <c r="D49" i="12" a="1"/>
  <c r="D49" i="12" s="1"/>
  <c r="E49" i="12" s="1"/>
  <c r="D38" i="12" a="1"/>
  <c r="D38" i="12" s="1"/>
  <c r="E38" i="12" s="1"/>
  <c r="D58" i="12" a="1"/>
  <c r="D58" i="12" s="1"/>
  <c r="E58" i="12" s="1"/>
  <c r="D45" i="12" a="1"/>
  <c r="D45" i="12" s="1"/>
  <c r="E45" i="12" s="1"/>
  <c r="D47" i="12" a="1"/>
  <c r="D47" i="12" s="1"/>
  <c r="E47" i="12" s="1"/>
  <c r="D48" i="12" a="1"/>
  <c r="D48" i="12" s="1"/>
  <c r="E48" i="12" s="1"/>
  <c r="D56" i="12" a="1"/>
  <c r="D56" i="12" s="1"/>
  <c r="E56" i="12" s="1"/>
  <c r="D50" i="12" a="1"/>
  <c r="D50" i="12" s="1"/>
  <c r="E50" i="12" s="1"/>
  <c r="D57" i="12" a="1"/>
  <c r="D57" i="12" s="1"/>
  <c r="E57" i="12" s="1"/>
  <c r="D39" i="12" a="1"/>
  <c r="D39" i="12" s="1"/>
  <c r="E39" i="12" s="1"/>
  <c r="D44" i="12" a="1"/>
  <c r="D44" i="12" s="1"/>
  <c r="E44" i="12" s="1"/>
  <c r="D51" i="12" a="1"/>
  <c r="D51" i="12" s="1"/>
  <c r="E51" i="12" s="1"/>
  <c r="D40" i="12" a="1"/>
  <c r="D40" i="12" s="1"/>
  <c r="E40" i="12" s="1"/>
  <c r="D42" i="12" a="1"/>
  <c r="D42" i="12" s="1"/>
  <c r="E42" i="12" s="1"/>
  <c r="D53" i="12" a="1"/>
  <c r="D53" i="12" s="1"/>
  <c r="E53" i="12" s="1"/>
  <c r="D54" i="12" a="1"/>
  <c r="D54" i="12" s="1"/>
  <c r="E54"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<sst xmlns="http://schemas.openxmlformats.org/spreadsheetml/2006/main" count="2406" uniqueCount="363">
  <si>
    <t>Nevada's Health Care Cost Growth Target Program - Data Submission Template</t>
  </si>
  <si>
    <t>This workbook contains the following tabs:</t>
  </si>
  <si>
    <t>Tab Name</t>
  </si>
  <si>
    <t>Contents</t>
  </si>
  <si>
    <t>Reference Tables</t>
  </si>
  <si>
    <t>Lookup Tables for Codes for Tabs 2-5.</t>
  </si>
  <si>
    <t>1. Cover Page</t>
  </si>
  <si>
    <t>Insurer info and attestation.</t>
  </si>
  <si>
    <t>2. TME</t>
  </si>
  <si>
    <t>3. SD</t>
  </si>
  <si>
    <t>4. LOB_ENROLL</t>
  </si>
  <si>
    <t>Insurer’s member months by line of business.</t>
  </si>
  <si>
    <t>5. RX_REBATE</t>
  </si>
  <si>
    <t xml:space="preserve">Pharmacy rebates data by line of business. </t>
  </si>
  <si>
    <t>6. Mandatory Questions</t>
  </si>
  <si>
    <t>Data submission confirmation.</t>
  </si>
  <si>
    <t>Data Validation Checks</t>
  </si>
  <si>
    <t>Summary tables intended to help insurers validate their data prior to submission.</t>
  </si>
  <si>
    <t>Validation by Market</t>
  </si>
  <si>
    <t>Validation by Provider</t>
  </si>
  <si>
    <t>Insurance Category Code</t>
  </si>
  <si>
    <t>Description</t>
  </si>
  <si>
    <t>Medicare Expenses for Non-Dual Eligible Members</t>
  </si>
  <si>
    <t>Medicaid Expenses for Non-Dual Eligible Members</t>
  </si>
  <si>
    <t>Commercial: Full Claims</t>
  </si>
  <si>
    <t>Commercial: Partial Claims</t>
  </si>
  <si>
    <t>Medicare Expenses for Medicare/Medicaid Dual Eligible </t>
  </si>
  <si>
    <t>Medicaid Expenses for Medicare/Medicaid Dual Eligible</t>
  </si>
  <si>
    <t>Market Code</t>
  </si>
  <si>
    <t>Medicare (Insurance Category Codes 1 and 5)</t>
  </si>
  <si>
    <t>Medicaid (Insurance Category Codes 2 and 6)</t>
  </si>
  <si>
    <t>Commercial (Insurance Category Codes 3 and 4)</t>
  </si>
  <si>
    <t>Line of Business Categories</t>
  </si>
  <si>
    <t>Large group (51 + employees), fully insured</t>
  </si>
  <si>
    <t>Small group (2-50 employees), fully insured</t>
  </si>
  <si>
    <t>Self-insured</t>
  </si>
  <si>
    <t>Individual (buy coverage on their own)</t>
  </si>
  <si>
    <t>Student plans</t>
  </si>
  <si>
    <t>Medicare Advantage for Non-Dual Eligible Members</t>
  </si>
  <si>
    <t>Medicaid Managed Care for Non-Dual Eligible Members</t>
  </si>
  <si>
    <t>Medicare Dual Eligible Members</t>
  </si>
  <si>
    <t>Medicaid Dual Eligible Members</t>
  </si>
  <si>
    <t>Unattributed</t>
  </si>
  <si>
    <t>Insurer Code</t>
  </si>
  <si>
    <t xml:space="preserve">Contact Information </t>
  </si>
  <si>
    <t>Insurer Name:</t>
  </si>
  <si>
    <t>[Input Required]</t>
  </si>
  <si>
    <t>Contact Name:</t>
  </si>
  <si>
    <t>Contact Email:</t>
  </si>
  <si>
    <t xml:space="preserve">Attestation </t>
  </si>
  <si>
    <t>Authorized Signatory:</t>
  </si>
  <si>
    <t>Date:</t>
  </si>
  <si>
    <t>2. Total Medical Expenses (TME)</t>
  </si>
  <si>
    <t>Black = Insurer-reported data</t>
  </si>
  <si>
    <t>When the insurer-entered data does not meet the desired format, the cell will become red.</t>
  </si>
  <si>
    <t>TME01</t>
  </si>
  <si>
    <t>TME02</t>
  </si>
  <si>
    <t>TME03</t>
  </si>
  <si>
    <t>TME04</t>
  </si>
  <si>
    <t>TME05</t>
  </si>
  <si>
    <t>TME06</t>
  </si>
  <si>
    <t>TME07</t>
  </si>
  <si>
    <t>TME08</t>
  </si>
  <si>
    <t>TME09</t>
  </si>
  <si>
    <t>TME10</t>
  </si>
  <si>
    <t>TME11</t>
  </si>
  <si>
    <t>TME12</t>
  </si>
  <si>
    <t>TME13</t>
  </si>
  <si>
    <t>TME14</t>
  </si>
  <si>
    <t>TME15</t>
  </si>
  <si>
    <t>TME16</t>
  </si>
  <si>
    <t>TME17</t>
  </si>
  <si>
    <t>TME18</t>
  </si>
  <si>
    <t>TME19</t>
  </si>
  <si>
    <t>TME20</t>
  </si>
  <si>
    <t>TME21</t>
  </si>
  <si>
    <t>TME22</t>
  </si>
  <si>
    <t>TME23</t>
  </si>
  <si>
    <t>TME24</t>
  </si>
  <si>
    <t>TME25</t>
  </si>
  <si>
    <t>TME26</t>
  </si>
  <si>
    <t>TME27</t>
  </si>
  <si>
    <t>TME28</t>
  </si>
  <si>
    <t>code</t>
  </si>
  <si>
    <t>year</t>
  </si>
  <si>
    <t>non-negative integer</t>
  </si>
  <si>
    <t>non-negative number</t>
  </si>
  <si>
    <t>Number</t>
  </si>
  <si>
    <t>non-positive number</t>
  </si>
  <si>
    <t>Reporting Year</t>
  </si>
  <si>
    <t>Member Months</t>
  </si>
  <si>
    <t>Claims: Hospital Inpatient</t>
  </si>
  <si>
    <t>Claims: Hospital Outpatient</t>
  </si>
  <si>
    <t>Claims: Professional, Primary Care Providers</t>
  </si>
  <si>
    <t>Claims: Professional, Specialty Providers</t>
  </si>
  <si>
    <t>Claims: Professional, Other Providers</t>
  </si>
  <si>
    <t>Claims: Long-Term Care</t>
  </si>
  <si>
    <t>Claims: Retail Pharmacy</t>
  </si>
  <si>
    <t>Claims: Other</t>
  </si>
  <si>
    <t>Non-Claims: Capitation or Bundled Pmts</t>
  </si>
  <si>
    <t>Non-Claims: Performance Incentive Pmts</t>
  </si>
  <si>
    <t>Non-Claims: Pop Health and Practice Infrastructure Pmts</t>
  </si>
  <si>
    <t>Non-Claims: Provider Salaries</t>
  </si>
  <si>
    <t>Non-Claims: Recovery</t>
  </si>
  <si>
    <t>Non-Claims: Other</t>
  </si>
  <si>
    <t>Count of Members with Claims Truncated</t>
  </si>
  <si>
    <t>Total Non-Truncated Claims Spending</t>
  </si>
  <si>
    <t>Total Non-Claims Spending</t>
  </si>
  <si>
    <t>Total Non-Truncated Claims and Non-Claims Spending</t>
  </si>
  <si>
    <t>Total Truncated Claims Spending</t>
  </si>
  <si>
    <t>Truncated Total Expenses (Total Truncated Claims Expenses + Non-Claims Expenses)</t>
  </si>
  <si>
    <t>Non-Truncated TME PMPM</t>
  </si>
  <si>
    <t>Truncated TME PMPM</t>
  </si>
  <si>
    <t>3. Standard Deviation (SD)</t>
  </si>
  <si>
    <t>SD01</t>
  </si>
  <si>
    <t>SD02</t>
  </si>
  <si>
    <t>SD03</t>
  </si>
  <si>
    <t>SD04</t>
  </si>
  <si>
    <t>SD05</t>
  </si>
  <si>
    <t>SD06</t>
  </si>
  <si>
    <t>SD07</t>
  </si>
  <si>
    <t>Standard Deviation PMPM</t>
  </si>
  <si>
    <t>4. Line of Business (LOB) Enrollment Data</t>
  </si>
  <si>
    <t>LOB01</t>
  </si>
  <si>
    <t>LOB02</t>
  </si>
  <si>
    <t>LOB03</t>
  </si>
  <si>
    <t>LOB04</t>
  </si>
  <si>
    <t>Line of Business Category</t>
  </si>
  <si>
    <t>Year 2018 Member Months</t>
  </si>
  <si>
    <t>Year 2019 Member Months</t>
  </si>
  <si>
    <t>5. Pharmacy Rebates Data</t>
  </si>
  <si>
    <t>RXR01</t>
  </si>
  <si>
    <t>RXR02</t>
  </si>
  <si>
    <t>RXR03</t>
  </si>
  <si>
    <t>RXR04</t>
  </si>
  <si>
    <t>RXR05</t>
  </si>
  <si>
    <t>RXR06</t>
  </si>
  <si>
    <t>RXR07</t>
  </si>
  <si>
    <t>Code</t>
  </si>
  <si>
    <t>negative number</t>
  </si>
  <si>
    <t>Medical Pharmacy Rebate Amount</t>
  </si>
  <si>
    <t>Retail Pharmacy Rebate Amount</t>
  </si>
  <si>
    <t>Total Pharmacy Rebate Amount (Optional)</t>
  </si>
  <si>
    <t>Total Pharmacy Rebate Amount</t>
  </si>
  <si>
    <t>All questions in this tab must be answered.</t>
  </si>
  <si>
    <t>Data Submission Information</t>
  </si>
  <si>
    <t>Table 1.1 Data Completeness and Estimation</t>
  </si>
  <si>
    <t>Questions</t>
  </si>
  <si>
    <t>Response</t>
  </si>
  <si>
    <t>Comments</t>
  </si>
  <si>
    <t>What is the overall completeness of the claims data (please reported as a %)?</t>
  </si>
  <si>
    <t>How long was the claims runout period for Claims Payments (please report as days)?</t>
  </si>
  <si>
    <t>How long was the runout period for Non-Claims Payments (please report as days)?</t>
  </si>
  <si>
    <t>Are IBNR/IBNP factors applied to the Claims Payments?</t>
  </si>
  <si>
    <t>Are pharmacy rebate data estimated? If yes, how?</t>
  </si>
  <si>
    <r>
      <t>What carve-out services are estimated? (</t>
    </r>
    <r>
      <rPr>
        <i/>
        <sz val="11"/>
        <color theme="1"/>
        <rFont val="Calibri"/>
        <family val="2"/>
        <scheme val="minor"/>
      </rPr>
      <t>for commercial: partial claims only</t>
    </r>
    <r>
      <rPr>
        <sz val="11"/>
        <color theme="1"/>
        <rFont val="Calibri"/>
        <family val="2"/>
        <scheme val="minor"/>
      </rPr>
      <t>)</t>
    </r>
  </si>
  <si>
    <t>Table 1.2 TME Data Inclusion and Exclusion</t>
  </si>
  <si>
    <t>Are the Claims Payments reported as allowed amounts, including both payments that Insurers paid to providers and member cost sharing?</t>
  </si>
  <si>
    <t>Is the spending reported in a manner consistent with the service category definitions outlined in the Data Specifications Manual?</t>
  </si>
  <si>
    <t>Does the TME data include Nevada residents only?</t>
  </si>
  <si>
    <t>Do the TME data include payments for services rendered by providers, regardless of location of provider?</t>
  </si>
  <si>
    <t>Do the TME data include payments for services rendered by providers, regardless of the situs of the member's plan?</t>
  </si>
  <si>
    <t>Are the data limited only to members for whom the insurer is primary on the claim?</t>
  </si>
  <si>
    <t>Are members attributed to provider organizations consistent with your contracts with each provider?</t>
  </si>
  <si>
    <t>Are TME data submitted based on the incurred date/date of service?</t>
  </si>
  <si>
    <t>Is truncation applied at the member level?</t>
  </si>
  <si>
    <t>Does the truncated spending include only claims data?</t>
  </si>
  <si>
    <r>
      <t xml:space="preserve">Is estimated spending on carved out services included in the calculation of claims at the member level before applying truncation? </t>
    </r>
    <r>
      <rPr>
        <i/>
        <sz val="11"/>
        <color theme="1"/>
        <rFont val="Calibri"/>
        <family val="2"/>
        <scheme val="minor"/>
      </rPr>
      <t>(for commercial: partial claims only)</t>
    </r>
  </si>
  <si>
    <t>Table 1.3 Standard Deviation</t>
  </si>
  <si>
    <t>Are the standard deviations calculated using the formula for population standard deviation?</t>
  </si>
  <si>
    <t>Are non-claims expenses excluded from the calculation of standard deviations?</t>
  </si>
  <si>
    <r>
      <t xml:space="preserve">Is estimated spending on carved out services at the member month level included in the calculation of standard deviation? </t>
    </r>
    <r>
      <rPr>
        <i/>
        <sz val="11"/>
        <color theme="1"/>
        <rFont val="Calibri"/>
        <family val="2"/>
        <scheme val="minor"/>
      </rPr>
      <t>(for commercial market only)</t>
    </r>
  </si>
  <si>
    <t>When calculating standard deviation, did you include all the member months, regardless of whether the member has paid claims for that month?</t>
  </si>
  <si>
    <t>When calculating the standard deviation, did you use each member’s average cost per month applied to each month they were enrolled, instead of the actual utilization each month?</t>
  </si>
  <si>
    <t>Is standard deviation calculated by market, which combines certain Insurance Category Codes?</t>
  </si>
  <si>
    <t>Table 1.4 Income from Fees of Uninsured Plans</t>
  </si>
  <si>
    <t>Reporting Year 2018</t>
  </si>
  <si>
    <t>Reporting Year 2019</t>
  </si>
  <si>
    <t>Did you have self-insured lines of business reported in Tab 4. LOB_ENROLL?</t>
  </si>
  <si>
    <t>If yes, please enter the income from fees of uninsured plans here.</t>
  </si>
  <si>
    <t>Table 1.5 "Doing Business As"</t>
  </si>
  <si>
    <t>"Doing Business As" Information</t>
  </si>
  <si>
    <t>What are all the names under which you are "doing business" as in the state of Nevada? (for Medicare Managed Care organizations only)</t>
  </si>
  <si>
    <t>Data Validation</t>
  </si>
  <si>
    <t>This tab includes various data validation checks to confirm consistency and reasonableness of data across and within tabs.</t>
  </si>
  <si>
    <t>Insurer Code:</t>
  </si>
  <si>
    <t>Red highlighting indicates member months do not match across tabs.</t>
  </si>
  <si>
    <t>Category</t>
  </si>
  <si>
    <t>TME</t>
  </si>
  <si>
    <t>LOB_ENROLL</t>
  </si>
  <si>
    <t xml:space="preserve">Consistent? </t>
  </si>
  <si>
    <t>Variation</t>
  </si>
  <si>
    <t>Total</t>
  </si>
  <si>
    <t>Medicare</t>
  </si>
  <si>
    <t>Medicaid</t>
  </si>
  <si>
    <t>Duals (ICCs 5+6)</t>
  </si>
  <si>
    <t>Commercial (ICCs 3+4)</t>
  </si>
  <si>
    <t>Red highlighting indicates claims and/or member months do not match across tabs.</t>
  </si>
  <si>
    <t>Claims</t>
  </si>
  <si>
    <t>SD</t>
  </si>
  <si>
    <t>Commercial</t>
  </si>
  <si>
    <t>Red highlighting indicates the count of members with claims truncated is greater than the total members and/or the truncated claims expenses are greater than total claims expenses.</t>
  </si>
  <si>
    <t>Total Members</t>
  </si>
  <si>
    <t>Total Members greater than Count of Members with Claims Truncated?</t>
  </si>
  <si>
    <t>Total Claims Expenses</t>
  </si>
  <si>
    <t>Truncated Claims Expenses</t>
  </si>
  <si>
    <t>Total Claims Expenses greater than Truncated Claims?</t>
  </si>
  <si>
    <t>Total Members less than Count of Members with Claims Truncated?</t>
  </si>
  <si>
    <t>Truncated Claims Spending</t>
  </si>
  <si>
    <t>Table 1: Member Months by Line of Business</t>
  </si>
  <si>
    <t>Line of Business</t>
  </si>
  <si>
    <t>2018</t>
  </si>
  <si>
    <t>2019</t>
  </si>
  <si>
    <t>Trend</t>
  </si>
  <si>
    <t>Commercial - Total</t>
  </si>
  <si>
    <t>Commercial - Full Claims</t>
  </si>
  <si>
    <t>Commercial - Partial Claims</t>
  </si>
  <si>
    <t>Medicare - Total</t>
  </si>
  <si>
    <t>Medicare Managed Care</t>
  </si>
  <si>
    <t>Medicare Expenditures for Medicare/Medicaid Dual Eligibles</t>
  </si>
  <si>
    <t>Medicaid - Total</t>
  </si>
  <si>
    <t>Medicaid Managed Care</t>
  </si>
  <si>
    <t>Medicaid Expenditures for Medicare/Medicaid Dual Eligibles</t>
  </si>
  <si>
    <t>Table 2: Total Medical Expense (TME) Trends by Line of Business, Net of Rebates (Unadjusted)</t>
  </si>
  <si>
    <t>Table 3: Per Member Per Month (PMPM) TME Trends by Line of Business, Net of Rebates (Unadjusted)</t>
  </si>
  <si>
    <t>Table 4: Commercial - Total TME Trends PMPM</t>
  </si>
  <si>
    <t>Table 5: Commercial - Full Claims (ICC 3) Total TME Trends PMPM</t>
  </si>
  <si>
    <t>Table 6: Commercial - Partial Claims (ICC 4) Total TME Trends PMPM</t>
  </si>
  <si>
    <t>Service Category</t>
  </si>
  <si>
    <t>Claims: Retail Pharmacy (Gross of Rebates)</t>
  </si>
  <si>
    <t>Claims: Pharmacy (Net of Rebates)</t>
  </si>
  <si>
    <t>Pharmacy Rebates</t>
  </si>
  <si>
    <t xml:space="preserve">Total Non-Claims Spending </t>
  </si>
  <si>
    <t>Unadjusted Total Expenses</t>
  </si>
  <si>
    <t>Truncated Total Expenses</t>
  </si>
  <si>
    <t>Table 7: Medicare - Total TME Trends PMPM</t>
  </si>
  <si>
    <t>Table 8: Medicare - Medicare Managed Care (ICC 1) Total TME Trends PMPM</t>
  </si>
  <si>
    <t>Table 9: Medicare - Medicare Expenditures for Medicare/Medicaid Dual Eligibles (ICC 5) Total TME Trends PMPM</t>
  </si>
  <si>
    <t>Table 10: Medicaid - Total TME Trends PMPM</t>
  </si>
  <si>
    <t>Table 11: Medicaid - Medicaid Managed Care (ICC 2) Total TME Trends PMPM</t>
  </si>
  <si>
    <t>Table 12: Medicaid - Medicaid Expenditures for Medicare/Medicaid Dual Eligibles (ICC 6) Total TME Trends PMPM</t>
  </si>
  <si>
    <t>ORG ID</t>
  </si>
  <si>
    <t>Name</t>
  </si>
  <si>
    <t>TOTAL: Non-Claims Expenses</t>
  </si>
  <si>
    <t>TOTAL: Truncated Total Expenses</t>
  </si>
  <si>
    <t>Total, Gross of Rebates</t>
  </si>
  <si>
    <t>Total, Net of Rebates</t>
  </si>
  <si>
    <t>Bacchus Wakefield Kahan PC</t>
  </si>
  <si>
    <t>First Person Care Clinic</t>
  </si>
  <si>
    <t>Intermountain Healthcare</t>
  </si>
  <si>
    <t>Nevada Health Centers</t>
  </si>
  <si>
    <t>Procare Medical Group</t>
  </si>
  <si>
    <t>Robert B McBeath MD II PC</t>
  </si>
  <si>
    <t>Southwest Medical Associates</t>
  </si>
  <si>
    <t>UNLV Medicine</t>
  </si>
  <si>
    <t>Aetna</t>
  </si>
  <si>
    <t>Anthem</t>
  </si>
  <si>
    <t>Cigna</t>
  </si>
  <si>
    <t>Humana</t>
  </si>
  <si>
    <t>Renown Health</t>
  </si>
  <si>
    <t>Centene</t>
  </si>
  <si>
    <t>Molina Healthcare</t>
  </si>
  <si>
    <t>UnitedHealthcare</t>
  </si>
  <si>
    <t>Insurer Overall</t>
  </si>
  <si>
    <t>TME29</t>
  </si>
  <si>
    <t>Non-Claims: Total Primary Care Non-Claims-Based Payments</t>
  </si>
  <si>
    <t>Non Claims: Total Primary Care Non-Claims-Based Payments</t>
  </si>
  <si>
    <t>TOTAL: Non-Truncated Claims Expenses</t>
  </si>
  <si>
    <t>TOTAL: Truncated Claims Expenses</t>
  </si>
  <si>
    <t>TOTAL: Non-Truncated Total Expenses</t>
  </si>
  <si>
    <t>Total Medical Expenses for all of the insurer’s members by insurance category, Large Provider Entity, and age/sex band.</t>
  </si>
  <si>
    <t>Standard Deviations on per member per month claims spending by market for the insurer overall for each Large Provider Entity.</t>
  </si>
  <si>
    <t>Large Provider Entity Code</t>
  </si>
  <si>
    <t>Large Provider Entity Member Months</t>
  </si>
  <si>
    <t>Year 2020 Member Months</t>
  </si>
  <si>
    <t>Year 2021 Member Months</t>
  </si>
  <si>
    <t>LOB05</t>
  </si>
  <si>
    <t>LOB06</t>
  </si>
  <si>
    <t>Consistency of Member Months Across TME and LOB_ENROLL tabs</t>
  </si>
  <si>
    <t>TME Member Month Details</t>
  </si>
  <si>
    <t>Consistency of Total Claims and Member Months Across TME and SD tabs</t>
  </si>
  <si>
    <t>2018-2019</t>
  </si>
  <si>
    <t>2019-2020</t>
  </si>
  <si>
    <t>2020</t>
  </si>
  <si>
    <t>2020-2021</t>
  </si>
  <si>
    <t>2021</t>
  </si>
  <si>
    <t>This tab uses the data submitted in the TME and RX_REBATE tabs to calculate member month and per member per month (PMPM) spend and trend by market and spending category.  Please review the data in this tab prior to submission to ensure that you are comfortable with the 2018, 2019, 2020, and 2021 PMPM values and trends reflected in the tables below.</t>
  </si>
  <si>
    <t>2018-2019 Trend</t>
  </si>
  <si>
    <t>2019-2020 Trend</t>
  </si>
  <si>
    <t>2020-2021 Trend</t>
  </si>
  <si>
    <t>Please describe your methodology for attributing members to a primary care provider.</t>
  </si>
  <si>
    <t>Please describe your methodology for attributing primary care providers to a Large Provider Entity.</t>
  </si>
  <si>
    <t>Community Care Services</t>
  </si>
  <si>
    <t>NEM Medical Center</t>
  </si>
  <si>
    <t>St. Mary’s Medical Group</t>
  </si>
  <si>
    <t>Members Not Attributed to a Large Provider Entity</t>
  </si>
  <si>
    <t>Red highlighting indicates the reported PMPM is less than &lt;$10, potentially indicating an error.</t>
  </si>
  <si>
    <t xml:space="preserve">I hereby attest that the information submitted in this data submission template is current, complete and accurate to the best of my knowledge. Failure to attest will result in DHHS OOA's non-acceptance of the data submission. </t>
  </si>
  <si>
    <t>Blue = OOA calculated data</t>
  </si>
  <si>
    <t>This tab uses the data you submitted in the TME and RX_REBATES tabs to calculate member month and per member per month (PMPM) spend and trend by Large Provider Entity and spending category.  Please review the data in this tab prior to submission to ensure that you are comfortable with the 2018, 2019, 2020, and 2021 PMPM values and trend reflected in the tables below.</t>
  </si>
  <si>
    <t>Large Provider Entity</t>
  </si>
  <si>
    <t>Reasonableness of PMPMs</t>
  </si>
  <si>
    <t>Truncation Validation</t>
  </si>
  <si>
    <t>Total Non-Claims</t>
  </si>
  <si>
    <r>
      <t xml:space="preserve">Greater than or equal to a 10% change between categories 3+4?
</t>
    </r>
    <r>
      <rPr>
        <i/>
        <sz val="11"/>
        <color theme="1"/>
        <rFont val="Calibri"/>
        <family val="2"/>
        <scheme val="minor"/>
      </rPr>
      <t>Red highlighting indicates a 10% change.</t>
    </r>
  </si>
  <si>
    <t>Total Claims Excluded because of Truncation</t>
  </si>
  <si>
    <t>Red highlighting indicates overall TME trend is greater than 5%, potentially indicating an error.</t>
  </si>
  <si>
    <t>Red highlighting indicates overall TME trend is greater than 10%, potentially indicating an error.</t>
  </si>
  <si>
    <t>Table 13: Member Months by Line of Business</t>
  </si>
  <si>
    <t>Table 14: Total Medical Expense (TME) Trends by Line of Business, Net of Rebates (Unadjusted)</t>
  </si>
  <si>
    <t>Table 15: Per Member Per Month (PMPM) TME Trends by Line of Business, Net of Rebates (Unadjusted)</t>
  </si>
  <si>
    <t>Table 16: Commercial - Total TME Trends PMPM</t>
  </si>
  <si>
    <t>Table 17: Commercial - Full Claims (ICC 3) Total TME Trends PMPM</t>
  </si>
  <si>
    <t>Table 18: Commercial - Partial Claims (ICC 4) Total TME Trends PMPM</t>
  </si>
  <si>
    <t>Table 19: Medicare - Total TME Trends PMPM</t>
  </si>
  <si>
    <t>Table 20: Medicare - Medicare Managed Care (ICC 1) Total TME Trends PMPM</t>
  </si>
  <si>
    <t>Table 21: Medicare - Medicare Expenditures for Medicare/Medicaid Dual Eligibles (ICC 5) Total TME Trends PMPM</t>
  </si>
  <si>
    <t>Table 22: Medicaid - Total TME Trends PMPM</t>
  </si>
  <si>
    <t>Table 23: Medicaid - Medicaid Managed Care (ICC 2) Total TME Trends PMPM</t>
  </si>
  <si>
    <t>Table 24: Medicaid - Medicaid Expenditures for Medicare/Medicaid Dual Eligibles (ICC 6) Total TME Trends PMPM</t>
  </si>
  <si>
    <t>Table 25: Member Months by Line of Business</t>
  </si>
  <si>
    <t>Table 26: Total Medical Expense (TME) Trends by Line of Business, Net of Rebates (Unadjusted)</t>
  </si>
  <si>
    <t>Table 27: Per Member Per Month (PMPM) TME Trends by Line of Business, Net of Rebates (Unadjusted)</t>
  </si>
  <si>
    <t>Table 28: Commercial - Total TME Trends PMPM</t>
  </si>
  <si>
    <t>Table 29: Commercial - Full Claims (ICC 3) Total TME Trends PMPM</t>
  </si>
  <si>
    <t>Table 30: Commercial - Partial Claims (ICC 4) Total TME Trends PMPM</t>
  </si>
  <si>
    <t>Table 31: Medicare - Total TME Trends PMPM</t>
  </si>
  <si>
    <t>Table 32: Medicare - Medicare Managed Care (ICC 1) Total TME Trends PMPM</t>
  </si>
  <si>
    <t>Table 33: Medicare - Medicare Expenditures for Medicare/Medicaid Dual Eligibles (ICC 5) Total TME Trends PMPM</t>
  </si>
  <si>
    <t>Table 34: Medicaid - Total TME Trends PMPM</t>
  </si>
  <si>
    <t>Table 35: Medicaid - Medicaid Managed Care (ICC 2) Total TME Trends PMPM</t>
  </si>
  <si>
    <t>Table 36: Medicaid - Medicaid Expenditures for Medicare/Medicaid Dual Eligibles (ICC 6) Total TME Trends PMPM</t>
  </si>
  <si>
    <t>Table 1: Commercial - Total (ICCs 3 &amp; 4) TME Trends PMPM (2018-2019)</t>
  </si>
  <si>
    <t>Table 2: Commercial - Total (ICCs 3 &amp; 4) TME Trends PMPM (2020-2020)</t>
  </si>
  <si>
    <t>Table 3: Commercial - Total (ICCs 3 &amp; 4) TME Trends PMPM (2021-2021)</t>
  </si>
  <si>
    <t>Table 6: Commercial - Full Claims (ICC 3) TME Trends PMPM (2020-2021)</t>
  </si>
  <si>
    <t>Table 5: Commercial - Full Claims (ICC 3) TME Trends PMPM (2019-2020)</t>
  </si>
  <si>
    <t>Table 4: Commercial - Full Claims (ICC 3) TME Trends PMPM (2018-2019)</t>
  </si>
  <si>
    <t>Table 7: Commercial - Partial Claims (ICC 4) TME Trends PMPM (2018-2019)</t>
  </si>
  <si>
    <t>Table 8: Commercial - Partial Claims (ICC 4) TME Trends PMPM (2019-2020)</t>
  </si>
  <si>
    <t>Table 9: Commercial - Partial Claims (ICC 4) TME Trends PMPM (2020-2021)</t>
  </si>
  <si>
    <t>Table 10: Medicare - Total (ICCs 1 &amp; 5) TME Trends PMPM (2018-2019)</t>
  </si>
  <si>
    <t>Table 11: Medicare - Total (ICCs 1 &amp; 5) TME Trends PMPM (2019-2020)</t>
  </si>
  <si>
    <t>Table 12: Medicare - Total (ICCs 1 &amp; 5) TME Trends PMPM (2020-2021)</t>
  </si>
  <si>
    <t>Table 13: Medicare Managed Care (ICC 1) TME Trends PMPM (2018-2019)</t>
  </si>
  <si>
    <t>Table 14: Medicare Managed Care (ICC 1) TME Trends PMPM (2019-2020)</t>
  </si>
  <si>
    <t>Table 15: Medicare Managed Care (ICC 1) TME Trends PMPM (2020-2021)</t>
  </si>
  <si>
    <t>Table 16: Medicare Expenditures for Medicare/Medicaid Dual Eligibles (ICC 5) TME Trends PMPM (2018-2019)</t>
  </si>
  <si>
    <t>Table 17: Medicare Expenditures for Medicare/Medicaid Dual Eligibles (ICC 5) TME Trends PMPM (2019-2020)</t>
  </si>
  <si>
    <t>Table 18: Medicare Expenditures for Medicare/Medicaid Dual Eligibles (ICC 5) TME Trends PMPM (2020-2021)</t>
  </si>
  <si>
    <t>Table 19: Medicaid - Total (ICCs 2 &amp; 6) TME Trends PMPM (2018-2019)</t>
  </si>
  <si>
    <t>Table 20: Medicaid - Total (ICCs 2 &amp; 6) TME Trends PMPM (2019-2020)</t>
  </si>
  <si>
    <t>Table 21: Medicaid - Total (ICCs 2 &amp; 6) TME Trends PMPM (2020-2021)</t>
  </si>
  <si>
    <t>Table 24: Medicaid Managed Care (ICC 2) TME Trends PMPM (2020-2021)</t>
  </si>
  <si>
    <t>Table 22: Medicaid Managed Care (ICC 2) TME Trends PMPM (2018-2019)</t>
  </si>
  <si>
    <t>Table 23: Medicaid Managed Care (ICC 2) TME Trends PMPM (2019-2020)</t>
  </si>
  <si>
    <t>Table 27: Medicaid Expenditures for Medicare/Medicaid Dual Eligibles (ICC 6) TME Trends PMPM (2020-2021)</t>
  </si>
  <si>
    <t>Table 25: Medicaid Expenditures for Medicare/Medicaid Dual Eligibles (ICC 6) TME Trends PMPM (2018-2019)</t>
  </si>
  <si>
    <t>Table 26: Medicaid Expenditures for Medicare/Medicaid Dual Eligibles (ICC 6) TME Trends PMPM (2019-2020)</t>
  </si>
  <si>
    <t xml:space="preserve"> </t>
  </si>
  <si>
    <t>Reporting Year 2020</t>
  </si>
  <si>
    <t>Reporting Year 2021</t>
  </si>
  <si>
    <t>Version 1.1, May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</si>
</sst>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_(&quot;$&quot;* #,##0_);_(&quot;$&quot;* \(#,##0\);_(&quot;$&quot;* &quot;-&quot;??_);_(@_)"/>
    <numFmt numFmtId="166" formatCode="0.0"/>
    <numFmt numFmtId="167" formatCode="0.0%"/>
  </numFmts>
  <fonts count="2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4"/>
      <color rgb="FF1F497D"/>
      <name val="Calibri"/>
      <family val="2"/>
    </font>
    <font>
      <sz val="11"/>
      <color theme="1"/>
      <name val="Calibri"/>
      <family val="2"/>
    </font>
    <font>
      <b/>
      <sz val="12"/>
      <color rgb="FF1F497D"/>
      <name val="Calibri"/>
      <family val="2"/>
    </font>
    <font>
      <b/>
      <sz val="11"/>
      <color rgb="FF000000"/>
      <name val="Calibri"/>
      <family val="2"/>
    </font>
    <font>
      <b/>
      <sz val="14"/>
      <color theme="1"/>
      <name val="Calibri"/>
      <family val="2"/>
      <scheme val="minor"/>
    </font>
    <font>
      <b/>
      <u/>
      <sz val="11"/>
      <color theme="1"/>
      <name val="Calibri"/>
      <family val="2"/>
      <scheme val="minor"/>
    </font>
    <font>
      <b/>
      <u/>
      <sz val="11"/>
      <color rgb="FFFF0000"/>
      <name val="Calibri"/>
      <family val="2"/>
      <scheme val="minor"/>
    </font>
    <font>
      <b/>
      <sz val="11"/>
      <name val="Calibri"/>
      <family val="2"/>
      <scheme val="minor"/>
    </font>
    <font>
      <b/>
      <sz val="11"/>
      <color rgb="FFFF0000"/>
      <name val="Calibri"/>
      <family val="2"/>
      <scheme val="minor"/>
    </font>
    <font>
      <sz val="11"/>
      <color theme="8" tint="-0.249977111117893"/>
      <name val="Calibri"/>
      <family val="2"/>
      <scheme val="minor"/>
    </font>
    <font>
      <sz val="11"/>
      <name val="Calibri"/>
      <family val="2"/>
      <scheme val="minor"/>
    </font>
    <font>
      <b/>
      <sz val="11"/>
      <color theme="8" tint="-0.249977111117893"/>
      <name val="Calibri"/>
      <family val="2"/>
      <scheme val="minor"/>
    </font>
    <font>
      <b/>
      <sz val="11"/>
      <color theme="0"/>
      <name val="Calibri"/>
      <family val="2"/>
      <scheme val="minor"/>
    </font>
    <font>
      <i/>
      <sz val="11"/>
      <color theme="1"/>
      <name val="Calibri"/>
      <family val="2"/>
      <scheme val="minor"/>
    </font>
    <font>
      <sz val="12"/>
      <color theme="1"/>
      <name val="Calibri"/>
      <family val="2"/>
      <scheme val="minor"/>
    </font>
    <font>
      <sz val="11"/>
      <color rgb="FF000000"/>
      <name val="Calibri"/>
      <family val="2"/>
    </font>
    <font>
      <b/>
      <sz val="16"/>
      <color theme="1"/>
      <name val="Calibri"/>
      <family val="2"/>
      <scheme val="minor"/>
    </font>
  </fonts>
  <fills count="12">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tint="-0.14999847407452621"/>
        <bgColor indexed="64"/>
      </patternFill>
    </fill>
    <fill>
      <patternFill patternType="solid">
        <fgColor rgb="FF0070C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2" tint="-0.499984740745262"/>
        <bgColor indexed="64"/>
      </patternFill>
    </fill>
    <fill>
      <patternFill patternType="solid">
        <fgColor theme="4" tint="-0.499984740745262"/>
        <bgColor indexed="64"/>
      </patternFill>
    </fill>
    <fill>
      <patternFill patternType="solid">
        <fgColor theme="8" tint="-0.249977111117893"/>
        <bgColor indexed="64"/>
      </patternFill>
    </fill>
    <fill>
      <patternFill patternType="solid">
        <fgColor rgb="FF0099CC"/>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26">
    <xf numFmtId="0" fontId="0" fillId="0" borderId="0" xfId="0"/>
    <xf numFmtId="1" fontId="0" fillId="0" borderId="0" xfId="0" applyNumberFormat="1"/>
    <xf numFmtId="0" fontId="4" fillId="0" borderId="0" xfId="0" applyFont="1" applyAlignment="1">
      <alignment vertical="center"/>
    </xf>
    <xf numFmtId="1" fontId="5" fillId="0" borderId="0" xfId="0" applyNumberFormat="1" applyFont="1"/>
    <xf numFmtId="0" fontId="6" fillId="0" borderId="0" xfId="0" applyFont="1" applyAlignment="1">
      <alignment vertical="center"/>
    </xf>
    <xf numFmtId="0" fontId="5" fillId="0" borderId="0" xfId="0" applyFont="1"/>
    <xf numFmtId="0" fontId="7" fillId="0" borderId="0" xfId="0" applyFont="1"/>
    <xf numFmtId="0" fontId="5" fillId="0" borderId="1" xfId="0" applyFont="1" applyBorder="1" applyAlignment="1">
      <alignment vertical="center"/>
    </xf>
    <xf numFmtId="0" fontId="5" fillId="0" borderId="1" xfId="0" applyFont="1" applyBorder="1"/>
    <xf numFmtId="0" fontId="5" fillId="0" borderId="1" xfId="0" applyFont="1" applyBorder="1" applyAlignment="1">
      <alignment wrapText="1"/>
    </xf>
    <xf numFmtId="0" fontId="3" fillId="2" borderId="1" xfId="0" applyFont="1" applyFill="1" applyBorder="1" applyAlignment="1">
      <alignment horizontal="center" vertical="center"/>
    </xf>
    <xf numFmtId="0" fontId="7" fillId="2" borderId="1" xfId="0" applyFont="1" applyFill="1" applyBorder="1" applyAlignment="1">
      <alignment vertical="center"/>
    </xf>
    <xf numFmtId="0" fontId="7" fillId="2" borderId="1" xfId="0" applyFont="1" applyFill="1" applyBorder="1"/>
    <xf numFmtId="0" fontId="8" fillId="0" borderId="0" xfId="0" applyFont="1" applyAlignment="1">
      <alignment horizontal="left" vertical="center"/>
    </xf>
    <xf numFmtId="0" fontId="2" fillId="0" borderId="0" xfId="0" applyFont="1"/>
    <xf numFmtId="0" fontId="10" fillId="0" borderId="0" xfId="0" applyFont="1"/>
    <xf numFmtId="0" fontId="3" fillId="0" borderId="0" xfId="0" applyFont="1" applyAlignment="1">
      <alignment horizontal="right" vertical="center"/>
    </xf>
    <xf numFmtId="0" fontId="0" fillId="3" borderId="1" xfId="0" applyFill="1" applyBorder="1" applyAlignment="1" applyProtection="1">
      <alignment horizontal="center" vertical="center"/>
      <protection locked="0"/>
    </xf>
    <xf numFmtId="0" fontId="9" fillId="0" borderId="0" xfId="0" applyFont="1"/>
    <xf numFmtId="0" fontId="11" fillId="2" borderId="1" xfId="0" applyFont="1" applyFill="1" applyBorder="1" applyAlignment="1">
      <alignment horizontal="center" vertical="center" wrapText="1"/>
    </xf>
    <xf numFmtId="0" fontId="0" fillId="0" borderId="1" xfId="0" applyBorder="1" applyProtection="1">
      <protection locked="0"/>
    </xf>
    <xf numFmtId="44" fontId="0" fillId="0" borderId="1" xfId="1" applyFont="1" applyBorder="1" applyProtection="1">
      <protection locked="0"/>
    </xf>
    <xf numFmtId="0" fontId="12" fillId="0" borderId="0" xfId="0" applyFont="1" applyAlignment="1">
      <alignment horizontal="left" vertical="center"/>
    </xf>
    <xf numFmtId="0" fontId="0" fillId="0" borderId="0" xfId="0" applyAlignment="1">
      <alignment horizontal="left" vertical="center"/>
    </xf>
    <xf numFmtId="0" fontId="14" fillId="0" borderId="0" xfId="0" applyFont="1" applyAlignment="1">
      <alignment horizontal="left" vertical="center"/>
    </xf>
    <xf numFmtId="0" fontId="3" fillId="0" borderId="0" xfId="0" applyFont="1" applyAlignment="1">
      <alignment horizontal="left" vertical="center"/>
    </xf>
    <xf numFmtId="0" fontId="0" fillId="3" borderId="1" xfId="0" applyFill="1" applyBorder="1" applyAlignment="1">
      <alignment horizontal="center" vertical="center"/>
    </xf>
    <xf numFmtId="1" fontId="0" fillId="3" borderId="1" xfId="0" applyNumberFormat="1" applyFill="1" applyBorder="1" applyAlignment="1">
      <alignment horizontal="center" vertical="center"/>
    </xf>
    <xf numFmtId="0" fontId="0" fillId="3" borderId="1" xfId="0" applyFill="1" applyBorder="1" applyProtection="1">
      <protection locked="0"/>
    </xf>
    <xf numFmtId="1" fontId="0" fillId="3" borderId="1" xfId="0" applyNumberFormat="1" applyFill="1" applyBorder="1" applyProtection="1">
      <protection locked="0"/>
    </xf>
    <xf numFmtId="164" fontId="0" fillId="3" borderId="1" xfId="0" applyNumberFormat="1" applyFill="1" applyBorder="1" applyProtection="1">
      <protection locked="0"/>
    </xf>
    <xf numFmtId="44" fontId="13" fillId="3" borderId="1" xfId="0" applyNumberFormat="1" applyFont="1" applyFill="1" applyBorder="1"/>
    <xf numFmtId="0" fontId="8" fillId="0" borderId="0" xfId="0" applyFont="1" applyAlignment="1">
      <alignment vertical="center"/>
    </xf>
    <xf numFmtId="0" fontId="0" fillId="0" borderId="1" xfId="0" applyBorder="1" applyAlignment="1">
      <alignment horizontal="center" vertical="center"/>
    </xf>
    <xf numFmtId="0" fontId="14" fillId="3" borderId="1" xfId="0" applyFont="1" applyFill="1" applyBorder="1" applyAlignment="1">
      <alignment horizontal="left" vertical="center"/>
    </xf>
    <xf numFmtId="0" fontId="0" fillId="0" borderId="0" xfId="0" applyAlignment="1">
      <alignment horizontal="left"/>
    </xf>
    <xf numFmtId="0" fontId="0" fillId="0" borderId="0" xfId="0" applyAlignment="1">
      <alignment horizontal="center" vertical="center"/>
    </xf>
    <xf numFmtId="0" fontId="0" fillId="0" borderId="0" xfId="0" applyAlignment="1">
      <alignment horizontal="center"/>
    </xf>
    <xf numFmtId="0" fontId="9" fillId="0" borderId="0" xfId="0" applyFont="1" applyAlignment="1">
      <alignment horizontal="left"/>
    </xf>
    <xf numFmtId="0" fontId="9" fillId="0" borderId="0" xfId="0" applyFont="1" applyAlignment="1">
      <alignment horizontal="left" vertical="center"/>
    </xf>
    <xf numFmtId="0" fontId="0" fillId="0" borderId="2" xfId="0" applyBorder="1" applyAlignment="1">
      <alignment horizontal="center" vertical="center"/>
    </xf>
    <xf numFmtId="0" fontId="11" fillId="2" borderId="4" xfId="0" applyFont="1" applyFill="1" applyBorder="1" applyAlignment="1">
      <alignment horizontal="center" vertical="center" wrapText="1"/>
    </xf>
    <xf numFmtId="9" fontId="0" fillId="0" borderId="4" xfId="2" applyFont="1" applyBorder="1" applyProtection="1">
      <protection locked="0"/>
    </xf>
    <xf numFmtId="0" fontId="0" fillId="0" borderId="4" xfId="0" applyBorder="1" applyProtection="1">
      <protection locked="0"/>
    </xf>
    <xf numFmtId="0" fontId="0" fillId="0" borderId="3" xfId="0" applyBorder="1" applyProtection="1">
      <protection locked="0"/>
    </xf>
    <xf numFmtId="0" fontId="11" fillId="2" borderId="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0" fillId="0" borderId="1" xfId="0" applyBorder="1" applyAlignment="1">
      <alignment horizontal="center"/>
    </xf>
    <xf numFmtId="0" fontId="14" fillId="0" borderId="1" xfId="0" applyFont="1" applyBorder="1" applyAlignment="1">
      <alignment horizontal="center" vertical="center"/>
    </xf>
    <xf numFmtId="0" fontId="14" fillId="0" borderId="1" xfId="0" applyFont="1" applyBorder="1" applyAlignment="1">
      <alignment horizontal="left" vertical="center"/>
    </xf>
    <xf numFmtId="0" fontId="0" fillId="0" borderId="1" xfId="0" applyBorder="1" applyAlignment="1">
      <alignment horizontal="left" vertical="center"/>
    </xf>
    <xf numFmtId="0" fontId="14" fillId="0" borderId="0" xfId="0" applyFont="1" applyAlignment="1">
      <alignment horizontal="center" vertical="center"/>
    </xf>
    <xf numFmtId="0" fontId="0" fillId="3" borderId="1" xfId="0" applyFill="1" applyBorder="1"/>
    <xf numFmtId="1" fontId="14" fillId="0" borderId="1" xfId="0" applyNumberFormat="1" applyFont="1" applyBorder="1" applyAlignment="1">
      <alignment horizontal="center" vertical="center"/>
    </xf>
    <xf numFmtId="1" fontId="11" fillId="2" borderId="7" xfId="0" applyNumberFormat="1"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0" fillId="0" borderId="10" xfId="0" applyBorder="1" applyProtection="1">
      <protection locked="0"/>
    </xf>
    <xf numFmtId="0" fontId="0" fillId="0" borderId="11" xfId="0" applyBorder="1" applyProtection="1">
      <protection locked="0"/>
    </xf>
    <xf numFmtId="0" fontId="0" fillId="3" borderId="11" xfId="0" applyFill="1" applyBorder="1" applyProtection="1">
      <protection locked="0"/>
    </xf>
    <xf numFmtId="1" fontId="0" fillId="3" borderId="11" xfId="0" applyNumberFormat="1" applyFill="1" applyBorder="1" applyProtection="1">
      <protection locked="0"/>
    </xf>
    <xf numFmtId="164" fontId="0" fillId="3" borderId="11" xfId="0" applyNumberFormat="1" applyFill="1" applyBorder="1" applyProtection="1">
      <protection locked="0"/>
    </xf>
    <xf numFmtId="44" fontId="13" fillId="3" borderId="11" xfId="0" applyNumberFormat="1" applyFont="1" applyFill="1" applyBorder="1"/>
    <xf numFmtId="0" fontId="11" fillId="2" borderId="9" xfId="0" applyFont="1" applyFill="1" applyBorder="1" applyAlignment="1">
      <alignment horizontal="center" vertical="center" wrapText="1"/>
    </xf>
    <xf numFmtId="0" fontId="0" fillId="0" borderId="4" xfId="0" applyBorder="1"/>
    <xf numFmtId="1" fontId="11" fillId="2" borderId="9" xfId="0" applyNumberFormat="1" applyFont="1" applyFill="1" applyBorder="1" applyAlignment="1">
      <alignment horizontal="center" vertical="center" wrapText="1"/>
    </xf>
    <xf numFmtId="44" fontId="13" fillId="0" borderId="5" xfId="1" applyFont="1" applyBorder="1" applyAlignment="1" applyProtection="1">
      <alignment horizontal="center"/>
    </xf>
    <xf numFmtId="0" fontId="15" fillId="4" borderId="9" xfId="0" applyFont="1" applyFill="1" applyBorder="1" applyAlignment="1">
      <alignment horizontal="center" vertical="center" wrapText="1"/>
    </xf>
    <xf numFmtId="44" fontId="13" fillId="0" borderId="12" xfId="1" applyFont="1" applyBorder="1" applyAlignment="1" applyProtection="1">
      <alignment horizontal="center"/>
    </xf>
    <xf numFmtId="0" fontId="0" fillId="0" borderId="6" xfId="0" applyBorder="1"/>
    <xf numFmtId="0" fontId="17" fillId="0" borderId="0" xfId="0" applyFont="1"/>
    <xf numFmtId="0" fontId="3" fillId="0" borderId="0" xfId="0" applyFont="1"/>
    <xf numFmtId="0" fontId="0" fillId="0" borderId="1" xfId="0" applyBorder="1"/>
    <xf numFmtId="0" fontId="16" fillId="5" borderId="1" xfId="0" applyFont="1" applyFill="1" applyBorder="1" applyAlignment="1">
      <alignment horizontal="center" vertical="center"/>
    </xf>
    <xf numFmtId="44" fontId="13" fillId="3" borderId="11" xfId="0" applyNumberFormat="1" applyFont="1" applyFill="1" applyBorder="1" applyAlignment="1">
      <alignment horizontal="center" vertical="center"/>
    </xf>
    <xf numFmtId="44" fontId="13" fillId="3" borderId="12" xfId="0" applyNumberFormat="1" applyFont="1" applyFill="1" applyBorder="1"/>
    <xf numFmtId="0" fontId="3" fillId="0" borderId="0" xfId="0" applyFont="1" applyAlignment="1">
      <alignment horizontal="left"/>
    </xf>
    <xf numFmtId="0" fontId="16" fillId="5" borderId="1" xfId="0" applyFont="1" applyFill="1" applyBorder="1" applyAlignment="1">
      <alignment horizontal="center" wrapText="1"/>
    </xf>
    <xf numFmtId="1" fontId="0" fillId="0" borderId="1" xfId="0" applyNumberFormat="1" applyBorder="1"/>
    <xf numFmtId="0" fontId="0" fillId="6" borderId="1" xfId="0" applyFill="1" applyBorder="1"/>
    <xf numFmtId="0" fontId="16" fillId="7" borderId="1" xfId="0" applyFont="1" applyFill="1" applyBorder="1"/>
    <xf numFmtId="0" fontId="8" fillId="0" borderId="0" xfId="0" applyFont="1"/>
    <xf numFmtId="0" fontId="0" fillId="0" borderId="4" xfId="0" applyBorder="1" applyAlignment="1">
      <alignment horizontal="left" indent="1"/>
    </xf>
    <xf numFmtId="0" fontId="3" fillId="6" borderId="4" xfId="0" applyFont="1" applyFill="1" applyBorder="1"/>
    <xf numFmtId="0" fontId="16" fillId="8" borderId="4" xfId="0" applyFont="1" applyFill="1" applyBorder="1"/>
    <xf numFmtId="0" fontId="16" fillId="8" borderId="10" xfId="0" applyFont="1" applyFill="1" applyBorder="1"/>
    <xf numFmtId="0" fontId="3" fillId="0" borderId="6" xfId="0" applyFont="1" applyBorder="1" applyAlignment="1">
      <alignment horizontal="center"/>
    </xf>
    <xf numFmtId="0" fontId="3" fillId="0" borderId="7" xfId="0" applyFont="1" applyBorder="1" applyAlignment="1">
      <alignment horizontal="center"/>
    </xf>
    <xf numFmtId="0" fontId="3" fillId="0" borderId="9" xfId="0" applyFont="1" applyBorder="1" applyAlignment="1">
      <alignment horizontal="center"/>
    </xf>
    <xf numFmtId="0" fontId="0" fillId="0" borderId="10" xfId="0" applyBorder="1" applyAlignment="1">
      <alignment horizontal="left"/>
    </xf>
    <xf numFmtId="0" fontId="0" fillId="0" borderId="5" xfId="0" applyBorder="1" applyAlignment="1">
      <alignment horizontal="center"/>
    </xf>
    <xf numFmtId="3" fontId="0" fillId="0" borderId="1" xfId="0" applyNumberFormat="1" applyBorder="1" applyAlignment="1">
      <alignment horizontal="center"/>
    </xf>
    <xf numFmtId="3" fontId="0" fillId="0" borderId="11" xfId="0" applyNumberFormat="1" applyBorder="1" applyAlignment="1">
      <alignment horizontal="center"/>
    </xf>
    <xf numFmtId="44" fontId="0" fillId="0" borderId="1" xfId="1" applyFont="1" applyBorder="1" applyAlignment="1">
      <alignment horizontal="center"/>
    </xf>
    <xf numFmtId="44" fontId="0" fillId="0" borderId="11" xfId="1" applyFont="1" applyBorder="1" applyAlignment="1">
      <alignment horizontal="center"/>
    </xf>
    <xf numFmtId="0" fontId="16" fillId="9" borderId="1" xfId="0" applyFont="1" applyFill="1" applyBorder="1" applyAlignment="1">
      <alignment wrapText="1"/>
    </xf>
    <xf numFmtId="0" fontId="16" fillId="10" borderId="1" xfId="0" applyFont="1" applyFill="1" applyBorder="1" applyAlignment="1">
      <alignment wrapText="1"/>
    </xf>
    <xf numFmtId="0" fontId="16" fillId="11" borderId="1" xfId="0" applyFont="1" applyFill="1" applyBorder="1" applyAlignment="1">
      <alignment wrapText="1"/>
    </xf>
    <xf numFmtId="0" fontId="0" fillId="0" borderId="1" xfId="0" applyBorder="1" applyAlignment="1">
      <alignment horizontal="left" vertical="center" wrapText="1"/>
    </xf>
    <xf numFmtId="0" fontId="19" fillId="0" borderId="1" xfId="0" applyFont="1" applyBorder="1" applyAlignment="1">
      <alignment horizontal="left" vertical="center"/>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0" fillId="0" borderId="1" xfId="0" applyBorder="1" applyAlignment="1">
      <alignment horizontal="left"/>
    </xf>
    <xf numFmtId="0" fontId="14" fillId="0" borderId="1" xfId="0" applyFont="1" applyFill="1" applyBorder="1" applyAlignment="1">
      <alignment horizontal="left" vertical="center"/>
    </xf>
    <xf numFmtId="1" fontId="14" fillId="0" borderId="1" xfId="0" applyNumberFormat="1" applyFont="1" applyFill="1" applyBorder="1" applyAlignment="1">
      <alignment horizontal="center" vertical="center"/>
    </xf>
    <xf numFmtId="0" fontId="0" fillId="0" borderId="1" xfId="0" applyFill="1" applyBorder="1"/>
    <xf numFmtId="0" fontId="0" fillId="0" borderId="1" xfId="0" applyFill="1" applyBorder="1" applyAlignment="1">
      <alignment horizontal="left" vertical="center"/>
    </xf>
    <xf numFmtId="0" fontId="13" fillId="0" borderId="0" xfId="0" applyFont="1" applyFill="1" applyAlignment="1">
      <alignment horizontal="left" vertical="center"/>
    </xf>
    <xf numFmtId="0" fontId="0" fillId="0" borderId="1" xfId="0" applyBorder="1" applyAlignment="1">
      <alignment horizontal="left"/>
    </xf>
    <xf numFmtId="0" fontId="18" fillId="0" borderId="0" xfId="0" applyFont="1" applyAlignment="1">
      <alignment horizontal="left" vertical="top" wrapText="1"/>
    </xf>
    <xf numFmtId="0" fontId="16" fillId="5" borderId="16" xfId="0" applyFont="1" applyFill="1" applyBorder="1" applyAlignment="1">
      <alignment horizontal="center" vertical="center"/>
    </xf>
    <xf numFmtId="0" fontId="16" fillId="5" borderId="17" xfId="0" applyFont="1" applyFill="1" applyBorder="1" applyAlignment="1">
      <alignment horizontal="center" vertical="center"/>
    </xf>
    <xf numFmtId="0" fontId="0" fillId="0" borderId="16" xfId="0" applyBorder="1"/>
    <xf numFmtId="0" fontId="0" fillId="0" borderId="18" xfId="0" applyBorder="1"/>
    <xf numFmtId="0" fontId="0" fillId="0" borderId="19" xfId="0" applyBorder="1"/>
    <xf numFmtId="0" fontId="0" fillId="0" borderId="19" xfId="0" applyBorder="1" applyAlignment="1">
      <alignment horizontal="center"/>
    </xf>
    <xf numFmtId="0" fontId="16" fillId="5" borderId="21" xfId="0" applyFont="1" applyFill="1" applyBorder="1" applyAlignment="1">
      <alignment horizontal="center" vertical="center" wrapText="1"/>
    </xf>
    <xf numFmtId="0" fontId="16" fillId="5" borderId="22" xfId="0" applyFont="1" applyFill="1" applyBorder="1" applyAlignment="1">
      <alignment horizontal="center" vertical="center" wrapText="1"/>
    </xf>
    <xf numFmtId="0" fontId="16" fillId="5" borderId="16" xfId="0" applyFont="1" applyFill="1" applyBorder="1" applyAlignment="1">
      <alignment horizontal="center" wrapText="1"/>
    </xf>
    <xf numFmtId="0" fontId="16" fillId="5" borderId="17" xfId="0" applyFont="1" applyFill="1" applyBorder="1" applyAlignment="1">
      <alignment horizontal="center" wrapText="1"/>
    </xf>
    <xf numFmtId="0" fontId="0" fillId="0" borderId="17" xfId="0" applyBorder="1" applyAlignment="1">
      <alignment horizontal="center"/>
    </xf>
    <xf numFmtId="0" fontId="0" fillId="0" borderId="20" xfId="0" applyBorder="1" applyAlignment="1">
      <alignment horizontal="center"/>
    </xf>
    <xf numFmtId="0" fontId="20" fillId="0" borderId="0" xfId="0" applyFont="1" applyAlignment="1">
      <alignment horizontal="left" vertical="top" wrapText="1"/>
    </xf>
    <xf numFmtId="0" fontId="0" fillId="0" borderId="1" xfId="0" applyBorder="1" applyAlignment="1">
      <alignment horizontal="left"/>
    </xf>
    <xf numFmtId="0" fontId="0" fillId="0" borderId="1" xfId="0" applyBorder="1" applyAlignment="1" applyProtection="1">
      <alignment horizontal="center"/>
      <protection locked="0"/>
    </xf>
    <xf numFmtId="3" fontId="0" fillId="0" borderId="1" xfId="0" applyNumberFormat="1" applyBorder="1" applyAlignment="1" applyProtection="1">
      <alignment horizontal="center"/>
      <protection locked="0"/>
    </xf>
    <xf numFmtId="165" fontId="1" fillId="0" borderId="1" xfId="1" applyNumberFormat="1" applyFont="1" applyFill="1" applyBorder="1" applyAlignment="1" applyProtection="1">
      <alignment horizontal="center"/>
      <protection locked="0"/>
    </xf>
    <xf numFmtId="165" fontId="1" fillId="0" borderId="5" xfId="1" applyNumberFormat="1" applyFont="1" applyBorder="1" applyProtection="1">
      <protection locked="0"/>
    </xf>
    <xf numFmtId="3" fontId="19" fillId="0" borderId="1" xfId="0" applyNumberFormat="1" applyFont="1" applyBorder="1" applyProtection="1">
      <protection locked="0"/>
    </xf>
    <xf numFmtId="3" fontId="19" fillId="0" borderId="7" xfId="0" applyNumberFormat="1" applyFont="1" applyBorder="1" applyProtection="1">
      <protection locked="0"/>
    </xf>
    <xf numFmtId="2" fontId="0" fillId="0" borderId="17" xfId="0" applyNumberFormat="1" applyBorder="1"/>
    <xf numFmtId="2" fontId="0" fillId="0" borderId="20" xfId="0" applyNumberFormat="1" applyBorder="1"/>
    <xf numFmtId="166" fontId="0" fillId="0" borderId="17" xfId="0" applyNumberFormat="1" applyBorder="1"/>
    <xf numFmtId="166" fontId="0" fillId="0" borderId="20" xfId="0" applyNumberFormat="1" applyBorder="1"/>
    <xf numFmtId="1" fontId="14" fillId="3" borderId="1" xfId="0" applyNumberFormat="1" applyFont="1" applyFill="1" applyBorder="1" applyAlignment="1">
      <alignment horizontal="center" vertical="center"/>
    </xf>
    <xf numFmtId="1" fontId="0" fillId="3" borderId="1" xfId="0" applyNumberFormat="1" applyFill="1" applyBorder="1" applyAlignment="1">
      <alignment horizontal="center"/>
    </xf>
    <xf numFmtId="1" fontId="14" fillId="3" borderId="11" xfId="0" applyNumberFormat="1" applyFont="1" applyFill="1" applyBorder="1" applyAlignment="1">
      <alignment horizontal="center" vertical="center"/>
    </xf>
    <xf numFmtId="164" fontId="0" fillId="0" borderId="1" xfId="0" applyNumberFormat="1" applyBorder="1"/>
    <xf numFmtId="164" fontId="0" fillId="0" borderId="19" xfId="0" applyNumberFormat="1" applyBorder="1"/>
    <xf numFmtId="44" fontId="0" fillId="0" borderId="1" xfId="1" applyFont="1" applyBorder="1"/>
    <xf numFmtId="44" fontId="0" fillId="0" borderId="19" xfId="1" applyFont="1" applyBorder="1"/>
    <xf numFmtId="3" fontId="0" fillId="0" borderId="1" xfId="0" applyNumberFormat="1" applyBorder="1"/>
    <xf numFmtId="9" fontId="0" fillId="0" borderId="5" xfId="2" applyFont="1" applyBorder="1" applyAlignment="1">
      <alignment horizontal="center"/>
    </xf>
    <xf numFmtId="167" fontId="0" fillId="0" borderId="5" xfId="2" applyNumberFormat="1" applyFont="1" applyBorder="1" applyAlignment="1">
      <alignment horizontal="center"/>
    </xf>
    <xf numFmtId="167" fontId="0" fillId="6" borderId="5" xfId="2" applyNumberFormat="1" applyFont="1" applyFill="1" applyBorder="1" applyAlignment="1">
      <alignment horizontal="center"/>
    </xf>
    <xf numFmtId="167" fontId="16" fillId="8" borderId="5" xfId="2" applyNumberFormat="1" applyFont="1" applyFill="1" applyBorder="1" applyAlignment="1">
      <alignment horizontal="center"/>
    </xf>
    <xf numFmtId="44" fontId="0" fillId="0" borderId="1" xfId="0" applyNumberFormat="1" applyBorder="1" applyAlignment="1">
      <alignment horizontal="center"/>
    </xf>
    <xf numFmtId="44" fontId="0" fillId="6" borderId="1" xfId="1" applyNumberFormat="1" applyFont="1" applyFill="1" applyBorder="1" applyAlignment="1">
      <alignment horizontal="center"/>
    </xf>
    <xf numFmtId="44" fontId="16" fillId="8" borderId="5" xfId="0" applyNumberFormat="1" applyFont="1" applyFill="1" applyBorder="1" applyAlignment="1">
      <alignment horizontal="center"/>
    </xf>
    <xf numFmtId="0" fontId="0" fillId="0" borderId="7" xfId="0" applyBorder="1" applyAlignment="1">
      <alignment horizontal="center"/>
    </xf>
    <xf numFmtId="0" fontId="0" fillId="0" borderId="9" xfId="0" applyBorder="1" applyAlignment="1">
      <alignment horizontal="center"/>
    </xf>
    <xf numFmtId="3" fontId="0" fillId="6" borderId="1" xfId="0" applyNumberFormat="1" applyFill="1" applyBorder="1"/>
    <xf numFmtId="44" fontId="0" fillId="0" borderId="1" xfId="0" applyNumberFormat="1" applyBorder="1"/>
    <xf numFmtId="44" fontId="0" fillId="6" borderId="1" xfId="0" applyNumberFormat="1" applyFill="1" applyBorder="1"/>
    <xf numFmtId="167" fontId="0" fillId="0" borderId="1" xfId="2" applyNumberFormat="1" applyFont="1" applyBorder="1"/>
    <xf numFmtId="167" fontId="0" fillId="6" borderId="1" xfId="2" applyNumberFormat="1" applyFont="1" applyFill="1" applyBorder="1"/>
    <xf numFmtId="44" fontId="0" fillId="0" borderId="16" xfId="1" applyFont="1" applyBorder="1"/>
    <xf numFmtId="44" fontId="0" fillId="0" borderId="18" xfId="1" applyFont="1" applyBorder="1"/>
    <xf numFmtId="3" fontId="0" fillId="0" borderId="19" xfId="0" applyNumberFormat="1" applyBorder="1"/>
    <xf numFmtId="3" fontId="0" fillId="0" borderId="16" xfId="0" applyNumberFormat="1" applyBorder="1"/>
    <xf numFmtId="3" fontId="0" fillId="0" borderId="18" xfId="0" applyNumberFormat="1" applyBorder="1"/>
    <xf numFmtId="3" fontId="0" fillId="0" borderId="17" xfId="0" applyNumberFormat="1" applyBorder="1"/>
    <xf numFmtId="3" fontId="0" fillId="0" borderId="20" xfId="0" applyNumberFormat="1" applyBorder="1"/>
    <xf numFmtId="0" fontId="16" fillId="5" borderId="5" xfId="0" applyFont="1" applyFill="1" applyBorder="1" applyAlignment="1">
      <alignment horizontal="center" wrapText="1"/>
    </xf>
    <xf numFmtId="0" fontId="0" fillId="0" borderId="29" xfId="0" applyBorder="1" applyAlignment="1">
      <alignment horizontal="center"/>
    </xf>
    <xf numFmtId="9" fontId="0" fillId="0" borderId="30" xfId="2" applyFont="1" applyBorder="1"/>
    <xf numFmtId="9" fontId="0" fillId="0" borderId="32" xfId="2" applyFont="1" applyBorder="1"/>
    <xf numFmtId="3" fontId="0" fillId="0" borderId="5" xfId="0" applyNumberFormat="1" applyBorder="1" applyProtection="1">
      <protection locked="0"/>
    </xf>
    <xf numFmtId="44" fontId="0" fillId="3" borderId="1" xfId="1" applyFont="1" applyFill="1" applyBorder="1" applyProtection="1">
      <protection locked="0"/>
    </xf>
    <xf numFmtId="44" fontId="0" fillId="3" borderId="11" xfId="1" applyFont="1" applyFill="1" applyBorder="1" applyProtection="1">
      <protection locked="0"/>
    </xf>
    <xf numFmtId="3" fontId="0" fillId="3" borderId="1" xfId="0" applyNumberFormat="1" applyFill="1" applyBorder="1" applyProtection="1">
      <protection locked="0"/>
    </xf>
    <xf numFmtId="3" fontId="0" fillId="3" borderId="11" xfId="0" applyNumberFormat="1" applyFill="1" applyBorder="1" applyProtection="1">
      <protection locked="0"/>
    </xf>
    <xf numFmtId="0" fontId="0" fillId="0" borderId="4" xfId="0" applyBorder="1" applyAlignment="1" applyProtection="1">
      <alignment horizontal="center"/>
      <protection locked="0"/>
    </xf>
    <xf numFmtId="0" fontId="0" fillId="0" borderId="12" xfId="0" applyBorder="1" applyAlignment="1">
      <alignment horizontal="center"/>
    </xf>
    <xf numFmtId="0" fontId="0" fillId="0" borderId="33" xfId="0" applyBorder="1" applyAlignment="1">
      <alignment wrapText="1"/>
    </xf>
    <xf numFmtId="44" fontId="0" fillId="0" borderId="16" xfId="0" applyNumberFormat="1" applyBorder="1"/>
    <xf numFmtId="44" fontId="0" fillId="0" borderId="17" xfId="0" applyNumberFormat="1" applyBorder="1"/>
    <xf numFmtId="9" fontId="0" fillId="0" borderId="31" xfId="2" applyFont="1" applyBorder="1"/>
    <xf numFmtId="165" fontId="0" fillId="0" borderId="1" xfId="1" applyNumberFormat="1" applyFont="1" applyFill="1" applyBorder="1" applyAlignment="1" applyProtection="1">
      <alignment horizontal="center"/>
      <protection locked="0"/>
    </xf>
    <xf numFmtId="3" fontId="0" fillId="0" borderId="22" xfId="0" applyNumberFormat="1" applyBorder="1" applyAlignment="1">
      <alignment horizontal="right"/>
    </xf>
    <xf numFmtId="3" fontId="0" fillId="0" borderId="23" xfId="0" applyNumberFormat="1" applyBorder="1" applyAlignment="1">
      <alignment horizontal="right"/>
    </xf>
    <xf numFmtId="0" fontId="0" fillId="0" borderId="1" xfId="0" applyBorder="1" applyAlignment="1">
      <alignment horizontal="left"/>
    </xf>
    <xf numFmtId="0" fontId="11" fillId="2" borderId="1" xfId="0" applyFont="1" applyFill="1" applyBorder="1" applyAlignment="1">
      <alignment horizontal="center" wrapText="1"/>
    </xf>
    <xf numFmtId="0" fontId="3" fillId="0" borderId="0" xfId="0" applyFont="1" applyAlignment="1">
      <alignment horizontal="right" vertical="center" wrapText="1"/>
    </xf>
    <xf numFmtId="0" fontId="3" fillId="0" borderId="8" xfId="0" applyFont="1" applyBorder="1" applyAlignment="1">
      <alignment horizontal="right" vertical="center" wrapText="1"/>
    </xf>
    <xf numFmtId="0" fontId="0" fillId="0" borderId="0" xfId="0" applyFill="1" applyAlignment="1">
      <alignment horizontal="left" vertical="center" wrapText="1"/>
    </xf>
    <xf numFmtId="0" fontId="8" fillId="0" borderId="0" xfId="0" applyFont="1" applyAlignment="1">
      <alignment horizontal="left" vertical="center"/>
    </xf>
    <xf numFmtId="0" fontId="0" fillId="0" borderId="1" xfId="0" applyBorder="1" applyAlignment="1">
      <alignment horizontal="left" wrapText="1"/>
    </xf>
    <xf numFmtId="0" fontId="11" fillId="2" borderId="1"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0" fillId="3" borderId="1" xfId="0" applyFill="1" applyBorder="1" applyAlignment="1">
      <alignment horizontal="left" wrapText="1"/>
    </xf>
    <xf numFmtId="0" fontId="0" fillId="0" borderId="5"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xf>
    <xf numFmtId="0" fontId="11" fillId="2" borderId="4" xfId="0" applyFont="1" applyFill="1" applyBorder="1" applyAlignment="1">
      <alignment horizontal="left" vertical="center" wrapText="1"/>
    </xf>
    <xf numFmtId="0" fontId="16" fillId="5" borderId="13" xfId="0" applyFont="1" applyFill="1" applyBorder="1" applyAlignment="1">
      <alignment horizontal="center"/>
    </xf>
    <xf numFmtId="0" fontId="16" fillId="5" borderId="14" xfId="0" applyFont="1" applyFill="1" applyBorder="1" applyAlignment="1">
      <alignment horizontal="center"/>
    </xf>
    <xf numFmtId="0" fontId="16" fillId="5" borderId="15" xfId="0" applyFont="1" applyFill="1" applyBorder="1" applyAlignment="1">
      <alignment horizontal="center"/>
    </xf>
    <xf numFmtId="0" fontId="16" fillId="5" borderId="0" xfId="0" applyFont="1" applyFill="1" applyBorder="1" applyAlignment="1">
      <alignment horizontal="center" wrapText="1"/>
    </xf>
    <xf numFmtId="0" fontId="16" fillId="5" borderId="27" xfId="0" applyFont="1" applyFill="1" applyBorder="1" applyAlignment="1">
      <alignment horizontal="center" wrapText="1"/>
    </xf>
    <xf numFmtId="0" fontId="16" fillId="5" borderId="24" xfId="0" applyFont="1" applyFill="1" applyBorder="1" applyAlignment="1">
      <alignment horizontal="center"/>
    </xf>
    <xf numFmtId="0" fontId="16" fillId="5" borderId="25" xfId="0" applyFont="1" applyFill="1" applyBorder="1" applyAlignment="1">
      <alignment horizontal="center"/>
    </xf>
    <xf numFmtId="0" fontId="16" fillId="5" borderId="26" xfId="0" applyFont="1" applyFill="1" applyBorder="1" applyAlignment="1">
      <alignment horizontal="center"/>
    </xf>
    <xf numFmtId="0" fontId="16" fillId="5" borderId="5" xfId="0" applyFont="1" applyFill="1" applyBorder="1" applyAlignment="1">
      <alignment horizontal="center"/>
    </xf>
    <xf numFmtId="0" fontId="16" fillId="5" borderId="5" xfId="0" applyFont="1" applyFill="1" applyBorder="1" applyAlignment="1">
      <alignment horizontal="center" vertical="center" wrapText="1"/>
    </xf>
    <xf numFmtId="0" fontId="16" fillId="5" borderId="28" xfId="0" applyFont="1" applyFill="1" applyBorder="1" applyAlignment="1">
      <alignment horizontal="center"/>
    </xf>
    <xf numFmtId="0" fontId="16" fillId="5" borderId="13" xfId="0" applyFont="1" applyFill="1" applyBorder="1" applyAlignment="1">
      <alignment horizontal="center" vertical="center"/>
    </xf>
    <xf numFmtId="0" fontId="16" fillId="5" borderId="14" xfId="0" applyFont="1" applyFill="1" applyBorder="1" applyAlignment="1">
      <alignment horizontal="center" vertical="center"/>
    </xf>
    <xf numFmtId="0" fontId="16" fillId="5" borderId="15" xfId="0" applyFont="1" applyFill="1" applyBorder="1" applyAlignment="1">
      <alignment horizontal="center" vertical="center"/>
    </xf>
    <xf numFmtId="0" fontId="16" fillId="5" borderId="16" xfId="0" applyFont="1" applyFill="1" applyBorder="1" applyAlignment="1">
      <alignment horizontal="center"/>
    </xf>
    <xf numFmtId="0" fontId="16" fillId="5" borderId="1" xfId="0" applyFont="1" applyFill="1" applyBorder="1" applyAlignment="1">
      <alignment horizontal="center"/>
    </xf>
    <xf numFmtId="0" fontId="16" fillId="5" borderId="17" xfId="0" applyFont="1" applyFill="1" applyBorder="1" applyAlignment="1">
      <alignment horizontal="center"/>
    </xf>
    <xf numFmtId="0" fontId="18" fillId="0" borderId="0" xfId="0" applyFont="1" applyAlignment="1">
      <alignment horizontal="left" vertical="top" wrapText="1"/>
    </xf>
    <xf numFmtId="0" fontId="16" fillId="11" borderId="5" xfId="0" applyFont="1" applyFill="1" applyBorder="1" applyAlignment="1">
      <alignment horizontal="center" wrapText="1"/>
    </xf>
    <xf numFmtId="0" fontId="16" fillId="11" borderId="3" xfId="0" applyFont="1" applyFill="1" applyBorder="1" applyAlignment="1">
      <alignment horizontal="center" wrapText="1"/>
    </xf>
    <xf numFmtId="0" fontId="16" fillId="11" borderId="4" xfId="0" applyFont="1" applyFill="1" applyBorder="1" applyAlignment="1">
      <alignment horizontal="center" wrapText="1"/>
    </xf>
    <xf numFmtId="0" fontId="16" fillId="11" borderId="1" xfId="0" applyFont="1" applyFill="1" applyBorder="1" applyAlignment="1">
      <alignment horizontal="center" wrapText="1"/>
    </xf>
    <xf numFmtId="0" fontId="16" fillId="10" borderId="5" xfId="0" applyFont="1" applyFill="1" applyBorder="1" applyAlignment="1">
      <alignment horizontal="center" wrapText="1"/>
    </xf>
    <xf numFmtId="0" fontId="16" fillId="10" borderId="3" xfId="0" applyFont="1" applyFill="1" applyBorder="1" applyAlignment="1">
      <alignment horizontal="center" wrapText="1"/>
    </xf>
    <xf numFmtId="0" fontId="16" fillId="10" borderId="4" xfId="0" applyFont="1" applyFill="1" applyBorder="1" applyAlignment="1">
      <alignment horizontal="center" wrapText="1"/>
    </xf>
    <xf numFmtId="0" fontId="16" fillId="10" borderId="1" xfId="0" applyFont="1" applyFill="1" applyBorder="1" applyAlignment="1">
      <alignment horizontal="center" wrapText="1"/>
    </xf>
    <xf numFmtId="0" fontId="16" fillId="9" borderId="5" xfId="0" applyFont="1" applyFill="1" applyBorder="1" applyAlignment="1">
      <alignment horizontal="center" wrapText="1"/>
    </xf>
    <xf numFmtId="0" fontId="16" fillId="9" borderId="3" xfId="0" applyFont="1" applyFill="1" applyBorder="1" applyAlignment="1">
      <alignment horizontal="center" wrapText="1"/>
    </xf>
    <xf numFmtId="0" fontId="16" fillId="9" borderId="4" xfId="0" applyFont="1" applyFill="1" applyBorder="1" applyAlignment="1">
      <alignment horizontal="center" wrapText="1"/>
    </xf>
  </cellXfs>
  <cellStyles count="3">
    <cellStyle name="Currency" xfId="1" builtinId="4"/>
    <cellStyle name="Normal" xfId="0" builtinId="0"/>
    <cellStyle name="Percent" xfId="2" builtinId="5"/>
  </cellStyles>
  <dxfs count="6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1"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1"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1"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1"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1"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1"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numFmt numFmtId="167" formatCode="0.0%"/>
      <border diagonalUp="0" diagonalDown="0" outline="0">
        <left style="thin">
          <color indexed="64"/>
        </left>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1"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1"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67" formatCode="0.0%"/>
      <border diagonalUp="0" diagonalDown="0" outline="0">
        <left style="thin">
          <color indexed="64"/>
        </left>
        <right/>
        <top style="thin">
          <color indexed="64"/>
        </top>
        <bottom style="thin">
          <color indexed="64"/>
        </bottom>
      </border>
    </dxf>
    <dxf>
      <numFmt numFmtId="3" formatCode="#,##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theme="9"/>
        </patternFill>
      </fill>
    </dxf>
    <dxf>
      <font>
        <color rgb="FF9C0006"/>
      </font>
      <fill>
        <patternFill>
          <bgColor rgb="FFFFC7CE"/>
        </patternFill>
      </fill>
    </dxf>
    <dxf>
      <font>
        <color rgb="FF006100"/>
      </font>
      <fill>
        <patternFill>
          <bgColor theme="9"/>
        </patternFill>
      </fill>
    </dxf>
    <dxf>
      <font>
        <color rgb="FF9C0006"/>
      </font>
      <fill>
        <patternFill>
          <bgColor rgb="FFFFC7CE"/>
        </patternFill>
      </fill>
    </dxf>
    <dxf>
      <font>
        <color rgb="FF006100"/>
      </font>
      <fill>
        <patternFill>
          <bgColor theme="9"/>
        </patternFill>
      </fill>
    </dxf>
    <dxf>
      <font>
        <color rgb="FF9C0006"/>
      </font>
      <fill>
        <patternFill>
          <bgColor rgb="FFFFC7CE"/>
        </patternFill>
      </fill>
    </dxf>
    <dxf>
      <font>
        <color rgb="FF006100"/>
      </font>
      <fill>
        <patternFill>
          <bgColor theme="9"/>
        </patternFill>
      </fill>
    </dxf>
    <dxf>
      <font>
        <color rgb="FF9C0006"/>
      </font>
      <fill>
        <patternFill>
          <bgColor rgb="FFFFC7CE"/>
        </patternFill>
      </fill>
    </dxf>
    <dxf>
      <font>
        <color rgb="FF006100"/>
      </font>
      <fill>
        <patternFill>
          <bgColor theme="9"/>
        </patternFill>
      </fill>
    </dxf>
    <dxf>
      <font>
        <color rgb="FF9C0006"/>
      </font>
      <fill>
        <patternFill>
          <bgColor rgb="FFFFC7CE"/>
        </patternFill>
      </fill>
    </dxf>
    <dxf>
      <font>
        <color rgb="FF006100"/>
      </font>
      <fill>
        <patternFill>
          <bgColor theme="9"/>
        </patternFill>
      </fill>
    </dxf>
    <dxf>
      <font>
        <color rgb="FF9C0006"/>
      </font>
      <fill>
        <patternFill>
          <bgColor rgb="FFFFC7CE"/>
        </patternFill>
      </fill>
    </dxf>
    <dxf>
      <font>
        <color rgb="FF006100"/>
      </font>
      <fill>
        <patternFill>
          <bgColor theme="9"/>
        </patternFill>
      </fill>
    </dxf>
    <dxf>
      <font>
        <color rgb="FF9C0006"/>
      </font>
      <fill>
        <patternFill>
          <bgColor rgb="FFFFC7CE"/>
        </patternFill>
      </fill>
    </dxf>
    <dxf>
      <font>
        <color rgb="FF006100"/>
      </font>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ill>
        <patternFill>
          <bgColor rgb="FFFF7C80"/>
        </patternFill>
      </fill>
    </dxf>
    <dxf>
      <fill>
        <patternFill>
          <bgColor theme="9"/>
        </patternFill>
      </fill>
    </dxf>
    <dxf>
      <font>
        <b val="0"/>
        <i val="0"/>
        <strike val="0"/>
        <condense val="0"/>
        <extend val="0"/>
        <outline val="0"/>
        <shadow val="0"/>
        <u val="none"/>
        <vertAlign val="baseline"/>
        <sz val="11"/>
        <color theme="8" tint="-0.249977111117893"/>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0"/>
        </patternFill>
      </fill>
      <protection locked="0" hidden="0"/>
    </dxf>
    <dxf>
      <border outline="0">
        <bottom style="thin">
          <color indexed="64"/>
        </bottom>
      </border>
    </dxf>
    <dxf>
      <font>
        <b/>
        <i val="0"/>
        <strike val="0"/>
        <condense val="0"/>
        <extend val="0"/>
        <outline val="0"/>
        <shadow val="0"/>
        <u val="none"/>
        <vertAlign val="baseline"/>
        <sz val="11"/>
        <color auto="1"/>
        <name val="Calibri"/>
        <family val="2"/>
        <scheme val="minor"/>
      </font>
      <numFmt numFmtId="1" formatCode="0"/>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0000"/>
      </font>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color rgb="FF000000"/>
      </font>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ont>
        <color rgb="FF000000"/>
      </font>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numFmt numFmtId="3" formatCode="#,##0"/>
      <fill>
        <patternFill patternType="solid">
          <fgColor indexed="64"/>
          <bgColor theme="0"/>
        </patternFill>
      </fill>
      <border diagonalUp="0" diagonalDown="0">
        <left style="thin">
          <color indexed="64"/>
        </left>
        <right/>
        <top style="thin">
          <color indexed="64"/>
        </top>
        <bottom style="thin">
          <color indexed="64"/>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0" hidden="0"/>
    </dxf>
    <dxf>
      <font>
        <color rgb="FF000000"/>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ont>
        <b val="0"/>
        <i val="0"/>
        <strike val="0"/>
        <condense val="0"/>
        <extend val="0"/>
        <outline val="0"/>
        <shadow val="0"/>
        <u val="none"/>
        <vertAlign val="baseline"/>
        <sz val="11"/>
        <color theme="8" tint="-0.249977111117893"/>
        <name val="Calibri"/>
        <family val="2"/>
        <scheme val="minor"/>
      </font>
      <numFmt numFmtId="0" formatCode="General"/>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8" tint="-0.249977111117893"/>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8" tint="-0.249977111117893"/>
        <name val="Calibri"/>
        <family val="2"/>
        <scheme val="minor"/>
      </font>
      <numFmt numFmtId="34" formatCode="_(&quot;$&quot;* #,##0.00_);_(&quot;$&quot;* \(#,##0.00\);_(&quot;$&quot;*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8" tint="-0.249977111117893"/>
        <name val="Calibri"/>
        <family val="2"/>
        <scheme val="minor"/>
      </font>
      <numFmt numFmtId="34" formatCode="_(&quot;$&quot;* #,##0.00_);_(&quot;$&quot;* \(#,##0.00\);_(&quot;$&quot;*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8" tint="-0.249977111117893"/>
        <name val="Calibri"/>
        <family val="2"/>
        <scheme val="minor"/>
      </font>
      <numFmt numFmtId="34" formatCode="_(&quot;$&quot;* #,##0.00_);_(&quot;$&quot;* \(#,##0.00\);_(&quot;$&quot;*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8" tint="-0.249977111117893"/>
        <name val="Calibri"/>
        <family val="2"/>
        <scheme val="minor"/>
      </font>
      <numFmt numFmtId="34" formatCode="_(&quot;$&quot;* #,##0.00_);_(&quot;$&quot;* \(#,##0.00\);_(&quot;$&quot;*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8" tint="-0.249977111117893"/>
        <name val="Calibri"/>
        <family val="2"/>
        <scheme val="minor"/>
      </font>
      <numFmt numFmtId="34" formatCode="_(&quot;$&quot;* #,##0.00_);_(&quot;$&quot;* \(#,##0.00\);_(&quot;$&quot;* &quot;-&quot;??_);_(@_)"/>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64" formatCode="&quot;$&quot;#,##0.0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numFmt numFmtId="1" formatCode="0"/>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horizontal/>
      </border>
      <protection locked="0" hidden="0"/>
    </dxf>
    <dxf>
      <border diagonalUp="0" diagonalDown="0">
        <left/>
        <right style="thin">
          <color indexed="64"/>
        </right>
        <top style="thin">
          <color indexed="64"/>
        </top>
        <bottom style="thin">
          <color indexed="64"/>
        </bottom>
        <vertical/>
        <horizontal/>
      </border>
      <protection locked="0" hidden="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8" tint="-0.249977111117893"/>
        <name val="Calibri"/>
        <family val="2"/>
        <scheme val="minor"/>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8" tint="-0.249977111117893"/>
        <name val="Calibri"/>
        <family val="2"/>
        <scheme val="minor"/>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C7CE"/>
        </patternFill>
      </fill>
    </dxf>
  </dxfs>
  <tableStyles count="0" defaultTableStyle="TableStyleMedium2" defaultPivotStyle="PivotStyleLight16"/>
  <colors>
    <mruColors>
      <color rgb="FF0099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31220D4-CE52-4CBD-8C34-0A1FFDA2BD5B}" name="TME" displayName="TME" ref="A10:AC59" totalsRowShown="0" headerRowDxfId="628" dataDxfId="626" headerRowBorderDxfId="627" tableBorderDxfId="625" totalsRowBorderDxfId="624">
  <autoFilter ref="A10:AC59" xr:uid="{131220D4-CE52-4CBD-8C34-0A1FFDA2BD5B}"/>
  <tableColumns count="29">
    <tableColumn id="1" xr3:uid="{E1616F8D-D488-4D8F-9487-03E45C70BB3C}" name="Insurer Code" dataDxfId="623"/>
    <tableColumn id="2" xr3:uid="{5B683E7A-0403-4A9C-AB9F-680201E6D7AF}" name="Reporting Year" dataDxfId="622"/>
    <tableColumn id="3" xr3:uid="{8789AD8C-E1DF-4602-B493-24EB770EDEF6}" name="Insurance Category Code" dataDxfId="621"/>
    <tableColumn id="4" xr3:uid="{E29CEFB3-5B5B-449D-A4F8-1A06E6903279}" name="Large Provider Entity Code" dataDxfId="620"/>
    <tableColumn id="7" xr3:uid="{274949C7-0726-437B-86CC-90B6C0F003CC}" name="Member Months" dataDxfId="619"/>
    <tableColumn id="8" xr3:uid="{11A072D2-78B9-417F-8C78-1D0E6BCCF9FC}" name="Claims: Hospital Inpatient" dataDxfId="618"/>
    <tableColumn id="9" xr3:uid="{6A4791F7-B6E7-42DB-BC56-5C7083AFCDD9}" name="Claims: Hospital Outpatient" dataDxfId="617"/>
    <tableColumn id="10" xr3:uid="{204B570B-AED1-450E-89E7-C44E501C53DD}" name="Claims: Professional, Primary Care Providers" dataDxfId="616"/>
    <tableColumn id="11" xr3:uid="{646F25FA-2A9F-4995-BD1C-149C13A12103}" name="Claims: Professional, Specialty Providers" dataDxfId="615"/>
    <tableColumn id="12" xr3:uid="{E42BB40E-E918-44C5-8DF3-8D677E2368E9}" name="Claims: Professional, Other Providers" dataDxfId="614"/>
    <tableColumn id="13" xr3:uid="{8C0D58C5-9A32-4EAE-B244-8885C17DF1D3}" name="Claims: Long-Term Care" dataDxfId="613"/>
    <tableColumn id="14" xr3:uid="{B59E230E-96E6-4CB5-BA3E-D8D5FB1EB5F0}" name="Claims: Retail Pharmacy" dataDxfId="612"/>
    <tableColumn id="15" xr3:uid="{42FCCC49-F931-4DDA-8585-AE5E36ED676A}" name="Claims: Other" dataDxfId="611"/>
    <tableColumn id="16" xr3:uid="{5BB5B712-7315-4EA2-8112-4A3AA1A39434}" name="Non-Claims: Capitation or Bundled Pmts" dataDxfId="610"/>
    <tableColumn id="17" xr3:uid="{81DA32BB-B754-47E1-91C0-C665D27BA24F}" name="Non-Claims: Performance Incentive Pmts" dataDxfId="609"/>
    <tableColumn id="18" xr3:uid="{896B550B-B5AF-43AA-92C9-0C0D8A9596D8}" name="Non-Claims: Pop Health and Practice Infrastructure Pmts" dataDxfId="608"/>
    <tableColumn id="19" xr3:uid="{BD5B5680-FEC9-4AA4-97C1-5EF0165666A3}" name="Non-Claims: Provider Salaries" dataDxfId="607"/>
    <tableColumn id="20" xr3:uid="{0A2D74E4-7C80-487D-8CBD-8C500E3B99C8}" name="Non-Claims: Recovery" dataDxfId="606"/>
    <tableColumn id="21" xr3:uid="{F49CEDE6-CD41-410A-B78D-1CE35328F149}" name="Non-Claims: Other" dataDxfId="605"/>
    <tableColumn id="5" xr3:uid="{F0F81CA9-0061-4036-8357-9299D1A78F36}" name="Non-Claims: Total Primary Care Non-Claims-Based Payments" dataDxfId="604"/>
    <tableColumn id="22" xr3:uid="{B758953F-EB7C-4D67-8B1B-50F30FEBA618}" name="Total Claims Excluded because of Truncation" dataDxfId="603"/>
    <tableColumn id="23" xr3:uid="{D953A340-A962-443A-BC8D-EC7FE6EA4299}" name="Count of Members with Claims Truncated" dataDxfId="602"/>
    <tableColumn id="24" xr3:uid="{E53C98B7-C443-4E7C-A91A-00A692542B01}" name="Total Non-Truncated Claims Spending" dataDxfId="601">
      <calculatedColumnFormula>SUM(F11:M11)</calculatedColumnFormula>
    </tableColumn>
    <tableColumn id="25" xr3:uid="{6B8D1DE8-53D5-4B8D-9D36-96EF41E439D0}" name="Total Non-Claims Spending" dataDxfId="600">
      <calculatedColumnFormula>SUM(N11:S11)</calculatedColumnFormula>
    </tableColumn>
    <tableColumn id="26" xr3:uid="{B3731A3D-4784-4616-A8D4-0E52B6023490}" name="Total Non-Truncated Claims and Non-Claims Spending" dataDxfId="599">
      <calculatedColumnFormula>W11+X11</calculatedColumnFormula>
    </tableColumn>
    <tableColumn id="27" xr3:uid="{A9779583-2ABF-45D5-AC5B-FF135F381C39}" name="Total Truncated Claims Spending" dataDxfId="598">
      <calculatedColumnFormula>W11-U11</calculatedColumnFormula>
    </tableColumn>
    <tableColumn id="28" xr3:uid="{1FBB3831-5DE1-4432-8B5B-353227BCE4A4}" name="Truncated Total Expenses (Total Truncated Claims Expenses + Non-Claims Expenses)" dataDxfId="597">
      <calculatedColumnFormula>Z11+X11</calculatedColumnFormula>
    </tableColumn>
    <tableColumn id="29" xr3:uid="{53C8ADC3-ADA2-4058-AB5F-FC67B4DEAC16}" name="Non-Truncated TME PMPM" dataDxfId="596">
      <calculatedColumnFormula>Y11/E11</calculatedColumnFormula>
    </tableColumn>
    <tableColumn id="30" xr3:uid="{19136209-2C13-45C2-A754-A7EB197D120A}" name="Truncated TME PMPM" dataDxfId="595">
      <calculatedColumnFormula>AA11/E11</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9E6A5E8-4177-4C40-88E0-7C4954066AFB}" name="SD" displayName="SD" ref="A10:G29" totalsRowShown="0" headerRowDxfId="584" headerRowBorderDxfId="583" tableBorderDxfId="582" totalsRowBorderDxfId="581">
  <autoFilter ref="A10:G29" xr:uid="{89E6A5E8-4177-4C40-88E0-7C4954066AFB}"/>
  <tableColumns count="7">
    <tableColumn id="1" xr3:uid="{B0388178-7CE2-4FF4-A351-375234C4582D}" name="Insurer Code" dataDxfId="580"/>
    <tableColumn id="2" xr3:uid="{A6AB152C-FFF6-4736-8BCF-FA563855AB68}" name="Reporting Year" dataDxfId="579"/>
    <tableColumn id="3" xr3:uid="{31C5F007-3DF8-4C42-A0D5-DE55CB166AE6}" name="Market Code" dataDxfId="578"/>
    <tableColumn id="4" xr3:uid="{53D9D91A-EC4C-45AD-BFD2-9D53DED8A8CE}" name="Large Provider Entity Code" dataDxfId="577"/>
    <tableColumn id="5" xr3:uid="{ED0299E4-EAE0-4EDE-ACA5-031356751CB8}" name="Member Months" dataDxfId="576"/>
    <tableColumn id="6" xr3:uid="{632DECA0-0DDF-405B-B38F-94F471972C30}" name="Total Truncated Claims Spending" dataDxfId="575" dataCellStyle="Currency"/>
    <tableColumn id="7" xr3:uid="{748B022C-8D83-434B-8179-37AFDB782D5C}" name="Standard Deviation PMPM" dataDxfId="57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FD9C5EE-B2BE-43EC-8C2D-5409958E7FF1}" name="LOB_ENROLL" displayName="LOB_ENROLL" ref="A10:F19" totalsRowShown="0" headerRowBorderDxfId="565" tableBorderDxfId="564" totalsRowBorderDxfId="563">
  <autoFilter ref="A10:F19" xr:uid="{6FD9C5EE-B2BE-43EC-8C2D-5409958E7FF1}"/>
  <tableColumns count="6">
    <tableColumn id="1" xr3:uid="{12983024-9086-4050-850B-F7352592AA72}" name="Insurer Code" dataDxfId="562"/>
    <tableColumn id="2" xr3:uid="{0E1EAA44-8290-4EF2-A8FE-E3C1224F05FC}" name="Line of Business Category" dataDxfId="561"/>
    <tableColumn id="3" xr3:uid="{6413953D-4B31-416D-B351-AF4829E8832C}" name="Year 2018 Member Months" dataDxfId="560"/>
    <tableColumn id="4" xr3:uid="{13BF11A9-D212-4AAC-88FD-A818E622BC2F}" name="Year 2019 Member Months" dataDxfId="559"/>
    <tableColumn id="5" xr3:uid="{D90FE1D9-3B39-4B9D-A3BE-2BAD9206D630}" name="Year 2020 Member Months" dataDxfId="558"/>
    <tableColumn id="6" xr3:uid="{94914FB9-E0E0-4D94-ADF4-C24A6D0CEB5D}" name="Year 2021 Member Months" dataDxfId="55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3FB6216-F516-4FDA-991E-04F608FE0556}" name="RX_REBATE" displayName="RX_REBATE" ref="A10:G28" totalsRowShown="0" headerRowDxfId="536" dataDxfId="534" headerRowBorderDxfId="535" tableBorderDxfId="533" totalsRowBorderDxfId="532">
  <autoFilter ref="A10:G28" xr:uid="{63FB6216-F516-4FDA-991E-04F608FE0556}"/>
  <tableColumns count="7">
    <tableColumn id="1" xr3:uid="{9E2B7B6B-983C-4A3E-A22A-4C64397CE23B}" name="Insurer Code" dataDxfId="531"/>
    <tableColumn id="2" xr3:uid="{180D75FD-E3FA-420D-AA86-D5F62A54077C}" name="Reporting Year" dataDxfId="530"/>
    <tableColumn id="3" xr3:uid="{D816DCE1-3013-4618-904C-9970499B04BB}" name="Insurance Category Code" dataDxfId="529"/>
    <tableColumn id="4" xr3:uid="{8DB73AC9-4CDF-4933-AF69-2A0E4219B104}" name="Medical Pharmacy Rebate Amount" dataDxfId="528"/>
    <tableColumn id="5" xr3:uid="{9CFE13FA-10B6-4603-92F3-290AB213E490}" name="Retail Pharmacy Rebate Amount" dataDxfId="527"/>
    <tableColumn id="6" xr3:uid="{E3E67EED-9C82-4934-85D4-D2A0F1DF5B2C}" name="Total Pharmacy Rebate Amount (Optional)" dataDxfId="526"/>
    <tableColumn id="7" xr3:uid="{1D49F510-89B6-401D-94DF-A7F4DB6BB5E9}" name="Total Pharmacy Rebate Amount" dataDxfId="525" dataCellStyle="Currency">
      <calculatedColumnFormula>D11+E11</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A6EEAB-3FCD-4EE6-B4B6-8D0E40A04794}" name="Table1" displayName="Table1" ref="B7:E17" totalsRowShown="0" headerRowDxfId="341" headerRowBorderDxfId="340" tableBorderDxfId="339" totalsRowBorderDxfId="338">
  <autoFilter ref="B7:E17" xr:uid="{F8A6EEAB-3FCD-4EE6-B4B6-8D0E40A04794}"/>
  <tableColumns count="4">
    <tableColumn id="1" xr3:uid="{CDA19ACD-8AEE-4402-8002-3728C4B88C2B}" name="Line of Business" dataDxfId="337"/>
    <tableColumn id="2" xr3:uid="{623DCDB4-7561-4AB9-8A5B-3BBCBA3179D3}" name="2018" dataDxfId="336"/>
    <tableColumn id="3" xr3:uid="{B738DA85-6E5C-49FF-8D7C-4314B272A817}" name="2019" dataDxfId="335"/>
    <tableColumn id="4" xr3:uid="{F7C6D4B1-8D0A-485B-B500-B7445E76E9CB}" name="Trend" dataDxfId="334" dataCellStyle="Percent"/>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49A6005-46F5-4D4A-86C1-3AA71E3BDAA7}" name="Table17" displayName="Table17" ref="B21:E31" totalsRowShown="0" headerRowDxfId="333" headerRowBorderDxfId="332" tableBorderDxfId="331" totalsRowBorderDxfId="330">
  <autoFilter ref="B21:E31" xr:uid="{E49A6005-46F5-4D4A-86C1-3AA71E3BDAA7}"/>
  <tableColumns count="4">
    <tableColumn id="1" xr3:uid="{32EC85DC-28E9-4049-8728-E1313EB83641}" name="Line of Business" dataDxfId="329"/>
    <tableColumn id="2" xr3:uid="{E4963AFA-6647-4F6E-92A0-CFDADBC2D896}" name="2018" dataDxfId="328" dataCellStyle="Currency"/>
    <tableColumn id="3" xr3:uid="{B5979193-8D91-4A77-8A87-61DD6E165463}" name="2019" dataDxfId="327" dataCellStyle="Currency"/>
    <tableColumn id="4" xr3:uid="{DEC7C619-A6B6-45AB-83C5-4F985D096024}" name="Trend" dataDxfId="326" dataCellStyle="Percent">
      <calculatedColumnFormula>IFERROR(Table1[[#This Row],[2019]]/Table1[[#This Row],[2018]]-1,"NA")</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8C68D31-8D9A-417E-BB29-CB5AB418B7AB}" name="Table178" displayName="Table178" ref="G21:J31" totalsRowShown="0" headerRowDxfId="325" headerRowBorderDxfId="324" tableBorderDxfId="323" totalsRowBorderDxfId="322">
  <autoFilter ref="G21:J31" xr:uid="{A8C68D31-8D9A-417E-BB29-CB5AB418B7AB}"/>
  <tableColumns count="4">
    <tableColumn id="1" xr3:uid="{8887C04F-2DFB-4FF0-90D2-072B308001BF}" name="Line of Business" dataDxfId="321"/>
    <tableColumn id="2" xr3:uid="{CE2626D7-5A80-4CB5-B15D-44C077429171}" name="2018" dataDxfId="320" dataCellStyle="Currency"/>
    <tableColumn id="3" xr3:uid="{4955267D-78CE-4DF1-AFB5-57CD6BAD20AF}" name="2019" dataDxfId="319" dataCellStyle="Currency">
      <calculatedColumnFormula>IFERROR(Table17[[#This Row],[2018]]/D8,"NA")</calculatedColumnFormula>
    </tableColumn>
    <tableColumn id="4" xr3:uid="{633F8C16-2669-4A5B-8EE1-F364A987D9EA}" name="Trend" dataDxfId="318" dataCellStyle="Percent">
      <calculatedColumnFormula>IFERROR(Table1[[#This Row],[2019]]/Table1[[#This Row],[2018]]-1,"NA")</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72502A7-3A31-4DA6-BCA3-3530E2BA6C83}" name="Table9" displayName="Table9" ref="B35:E58" totalsRowShown="0" headerRowDxfId="317" headerRowBorderDxfId="316" tableBorderDxfId="315" totalsRowBorderDxfId="314">
  <autoFilter ref="B35:E58" xr:uid="{172502A7-3A31-4DA6-BCA3-3530E2BA6C83}"/>
  <tableColumns count="4">
    <tableColumn id="1" xr3:uid="{1F1DCA12-E2E1-4677-8D49-627C17BC3354}" name="Service Category" dataDxfId="313"/>
    <tableColumn id="2" xr3:uid="{EA2D6E36-FBCB-4218-BBD2-E974792406FB}" name="2018" dataDxfId="312"/>
    <tableColumn id="3" xr3:uid="{795A562E-F28C-4E13-A531-C6068CE7F863}" name="2019" dataDxfId="311"/>
    <tableColumn id="4" xr3:uid="{487BA85A-47C6-4CBE-A6B5-D3CF8B1F7F79}" name="Trend" dataDxfId="310" dataCellStyle="Percent"/>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11F9C71-08E9-4599-82C5-E5A1DE347FA2}" name="Table911" displayName="Table911" ref="G35:J58" totalsRowShown="0" headerRowDxfId="309" headerRowBorderDxfId="308" tableBorderDxfId="307" totalsRowBorderDxfId="306">
  <autoFilter ref="G35:J58" xr:uid="{411F9C71-08E9-4599-82C5-E5A1DE347FA2}"/>
  <tableColumns count="4">
    <tableColumn id="1" xr3:uid="{19345CA9-2F9E-4C4B-B50B-83A9E2B49D61}" name="Service Category" dataDxfId="305"/>
    <tableColumn id="2" xr3:uid="{59BB521B-C1F4-4789-800E-F8F692319F90}" name="2018" dataDxfId="304"/>
    <tableColumn id="3" xr3:uid="{D32AA379-B55B-431A-A302-D59B343A97E0}" name="2019" dataDxfId="303"/>
    <tableColumn id="4" xr3:uid="{8BFB63AF-9FE3-409A-A942-9428BC1298C7}" name="Trend" dataDxfId="302" dataCellStyle="Percent"/>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1B6B9E7-41B2-4662-844A-099D1CB9855B}" name="Table91112" displayName="Table91112" ref="L35:O58" totalsRowShown="0" headerRowDxfId="301" headerRowBorderDxfId="300" tableBorderDxfId="299" totalsRowBorderDxfId="298">
  <autoFilter ref="L35:O58" xr:uid="{51B6B9E7-41B2-4662-844A-099D1CB9855B}"/>
  <tableColumns count="4">
    <tableColumn id="1" xr3:uid="{F9470BC3-B179-4878-8C6E-523901B61D81}" name="Service Category" dataDxfId="297"/>
    <tableColumn id="2" xr3:uid="{54327B97-68F0-4342-8ACD-40FAADF9F759}" name="2018" dataDxfId="296"/>
    <tableColumn id="3" xr3:uid="{C167B3F9-B33F-4CBD-BB66-45C548DD8A29}" name="2019" dataDxfId="295"/>
    <tableColumn id="4" xr3:uid="{9FCBA273-5502-428A-9F1E-108D3A1EAC24}" name="Trend" dataDxfId="294" dataCellStyle="Percent"/>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0F416C0-94E3-4E92-8AD8-A5B317BF7A23}" name="Table913" displayName="Table913" ref="B62:E85" totalsRowShown="0" headerRowDxfId="293" headerRowBorderDxfId="292" tableBorderDxfId="291" totalsRowBorderDxfId="290">
  <autoFilter ref="B62:E85" xr:uid="{E0F416C0-94E3-4E92-8AD8-A5B317BF7A23}"/>
  <tableColumns count="4">
    <tableColumn id="1" xr3:uid="{54D405FB-9497-4C5B-82E8-7E09C27C9D6B}" name="Service Category" dataDxfId="289"/>
    <tableColumn id="2" xr3:uid="{1F02876A-FDFD-4DF1-BE99-9643547EB451}" name="2018" dataDxfId="288"/>
    <tableColumn id="3" xr3:uid="{E64D28EA-64A0-47BE-A5E6-1C7C852ED211}" name="2019" dataDxfId="287"/>
    <tableColumn id="4" xr3:uid="{81339995-556F-4597-BB35-5A80C3C23F87}" name="Trend" dataDxfId="286" dataCellStyle="Percent">
      <calculatedColumnFormula>IFERROR(Table913[[#This Row],[2019]]/Table913[[#This Row],[2018]]-1,"NA")</calculatedColumnFormula>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127BC55-7775-4171-A3AB-CFEA4FF7A9F7}" name="Table91114" displayName="Table91114" ref="G62:J85" totalsRowShown="0" headerRowDxfId="285" headerRowBorderDxfId="284" tableBorderDxfId="283" totalsRowBorderDxfId="282">
  <autoFilter ref="G62:J85" xr:uid="{4127BC55-7775-4171-A3AB-CFEA4FF7A9F7}"/>
  <tableColumns count="4">
    <tableColumn id="1" xr3:uid="{1ECDCDF5-E469-4412-8179-96B0F79E95FC}" name="Service Category" dataDxfId="281"/>
    <tableColumn id="2" xr3:uid="{71EFD962-EE69-4AC9-B52B-96A50EBFB18A}" name="2018" dataDxfId="280"/>
    <tableColumn id="3" xr3:uid="{61C72167-33E1-49B7-82A6-9B8BC6C43B3A}" name="2019" dataDxfId="279"/>
    <tableColumn id="4" xr3:uid="{2178B8B7-BDBF-4592-A6F1-E52060400E95}" name="Trend" dataDxfId="278" dataCellStyle="Percent"/>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475C88F-AE01-424A-B658-3EB099F80FE6}" name="Table9111215" displayName="Table9111215" ref="L62:O85" totalsRowShown="0" headerRowDxfId="277" headerRowBorderDxfId="276" tableBorderDxfId="275" totalsRowBorderDxfId="274">
  <autoFilter ref="L62:O85" xr:uid="{D475C88F-AE01-424A-B658-3EB099F80FE6}"/>
  <tableColumns count="4">
    <tableColumn id="1" xr3:uid="{F4763C21-6416-43C3-8A18-B902A4A98F9C}" name="Service Category" dataDxfId="273"/>
    <tableColumn id="2" xr3:uid="{C031112E-D3BD-4EAF-8FB1-BA4B1A621246}" name="2018" dataDxfId="272" dataCellStyle="Currency"/>
    <tableColumn id="3" xr3:uid="{ED1ABCAF-BE31-490C-9C1E-AF4969FB7EA3}" name="2019" dataDxfId="271" dataCellStyle="Currency"/>
    <tableColumn id="4" xr3:uid="{35BDF61E-AC59-4C78-A56E-DBD7C4698171}" name="Trend" dataDxfId="270" dataCellStyle="Percent"/>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F0A6272A-F5C4-4B40-A181-D00C4DE09CC4}" name="Table91316" displayName="Table91316" ref="B89:E112" totalsRowShown="0" headerRowDxfId="269" headerRowBorderDxfId="268" tableBorderDxfId="267" totalsRowBorderDxfId="266">
  <autoFilter ref="B89:E112" xr:uid="{F0A6272A-F5C4-4B40-A181-D00C4DE09CC4}"/>
  <tableColumns count="4">
    <tableColumn id="1" xr3:uid="{7D1D7B72-49D9-4E44-9A37-66391F59021C}" name="Service Category" dataDxfId="265"/>
    <tableColumn id="2" xr3:uid="{D3042E97-B774-42A8-88FF-0FFA8EF2525A}" name="2018" dataDxfId="264"/>
    <tableColumn id="3" xr3:uid="{DFEA949F-8B0B-4464-B0DA-C06AA92BFC8C}" name="2019" dataDxfId="263"/>
    <tableColumn id="4" xr3:uid="{77C4C8C5-313E-496E-98CC-84DBDB186E04}" name="Trend" dataDxfId="262" dataCellStyle="Percent"/>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54386EF-4090-447C-8827-539F6CA1B6B5}" name="Table9111417" displayName="Table9111417" ref="G89:J112" totalsRowShown="0" headerRowDxfId="261" headerRowBorderDxfId="260" tableBorderDxfId="259" totalsRowBorderDxfId="258">
  <autoFilter ref="G89:J112" xr:uid="{A54386EF-4090-447C-8827-539F6CA1B6B5}"/>
  <tableColumns count="4">
    <tableColumn id="1" xr3:uid="{0A4F406C-A6ED-46D6-BF0C-740C93435FE1}" name="Service Category" dataDxfId="257"/>
    <tableColumn id="2" xr3:uid="{2847E168-4312-49A4-A640-5487F6816EC1}" name="2018" dataDxfId="256"/>
    <tableColumn id="3" xr3:uid="{ACDF54D2-FE52-4EE3-A63A-327741D7DB22}" name="2019" dataDxfId="255"/>
    <tableColumn id="4" xr3:uid="{159339C8-CBAA-4354-BB75-2719A1CF15F4}" name="Trend" dataDxfId="254" dataCellStyle="Percent"/>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49079E1-2A48-455D-9E2F-95B4F246A2DF}" name="Table911121518" displayName="Table911121518" ref="L89:O112" totalsRowShown="0" headerRowDxfId="253" headerRowBorderDxfId="252" tableBorderDxfId="251" totalsRowBorderDxfId="250">
  <autoFilter ref="L89:O112" xr:uid="{249079E1-2A48-455D-9E2F-95B4F246A2DF}"/>
  <tableColumns count="4">
    <tableColumn id="1" xr3:uid="{AAB05BFD-D88D-42B2-A4AC-82F99995F678}" name="Service Category" dataDxfId="249"/>
    <tableColumn id="2" xr3:uid="{4F25F198-98B7-429B-B492-0FDC8C598346}" name="2018" dataDxfId="248"/>
    <tableColumn id="3" xr3:uid="{875D5D78-FF85-43E3-8758-B8C2E949A96C}" name="2019" dataDxfId="247"/>
    <tableColumn id="4" xr3:uid="{9119E663-263B-42E1-B1AA-EA17EB842EE9}" name="Trend" dataDxfId="246" dataCellStyle="Percent"/>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D811EA6-808D-4015-AF9C-9E846A4FFB14}" name="Table19" displayName="Table19" ref="B117:E127" totalsRowShown="0" headerRowDxfId="245" headerRowBorderDxfId="244" tableBorderDxfId="243" totalsRowBorderDxfId="242">
  <autoFilter ref="B117:E127" xr:uid="{DD811EA6-808D-4015-AF9C-9E846A4FFB14}"/>
  <tableColumns count="4">
    <tableColumn id="1" xr3:uid="{D658229D-AFF2-4870-A1D2-7A5D2E629A44}" name="Line of Business" dataDxfId="241"/>
    <tableColumn id="2" xr3:uid="{E0EBC500-7B00-4E64-BD36-B3D9E9329CC8}" name="2019" dataDxfId="240"/>
    <tableColumn id="3" xr3:uid="{715E7580-5782-44FE-B193-2636F00197AE}" name="2020" dataDxfId="239"/>
    <tableColumn id="4" xr3:uid="{B73E415A-84EA-44D8-8E19-1E43B4DFBCE5}" name="Trend" dataDxfId="238" dataCellStyle="Percent">
      <calculatedColumnFormula>IFERROR(Table19[[#This Row],[2020]]/Table19[[#This Row],[2019]]-1,"NA")</calculatedColumnFormula>
    </tableColumn>
  </tableColumns>
  <tableStyleInfo name="TableStyleMedium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9EFC3FC-9ADA-46D5-B4A1-58602B471C1D}" name="Table1719" displayName="Table1719" ref="B131:E141" totalsRowShown="0" headerRowDxfId="237" headerRowBorderDxfId="236" tableBorderDxfId="235" totalsRowBorderDxfId="234">
  <autoFilter ref="B131:E141" xr:uid="{29EFC3FC-9ADA-46D5-B4A1-58602B471C1D}"/>
  <tableColumns count="4">
    <tableColumn id="1" xr3:uid="{74C71C3D-365E-4E98-930E-4AE95DCBE802}" name="Line of Business" dataDxfId="233"/>
    <tableColumn id="2" xr3:uid="{126F3480-63BC-4B47-804E-C642A0925845}" name="2019" dataDxfId="232" dataCellStyle="Currency"/>
    <tableColumn id="3" xr3:uid="{C42E9A29-A010-465C-AF45-FF9C75963A32}" name="2020" dataDxfId="231" dataCellStyle="Currency"/>
    <tableColumn id="4" xr3:uid="{8F2646DF-4822-49B8-BD6F-DBDEC7DFF2DD}" name="Trend" dataDxfId="230" dataCellStyle="Percent">
      <calculatedColumnFormula>IFERROR(Table1719[[#This Row],[2020]]/Table1719[[#This Row],[2019]]-1,"NA")</calculatedColumnFormula>
    </tableColumn>
  </tableColumns>
  <tableStyleInfo name="TableStyleMedium7"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2125941-D7CD-4FD3-9217-DE438483778F}" name="Table17820" displayName="Table17820" ref="G131:J141" totalsRowShown="0" headerRowDxfId="229" headerRowBorderDxfId="228" tableBorderDxfId="227" totalsRowBorderDxfId="226">
  <autoFilter ref="G131:J141" xr:uid="{52125941-D7CD-4FD3-9217-DE438483778F}"/>
  <tableColumns count="4">
    <tableColumn id="1" xr3:uid="{3AA706A4-1FC5-43E7-8D15-60ACA5F88557}" name="Line of Business" dataDxfId="225"/>
    <tableColumn id="2" xr3:uid="{335D7B47-1694-4638-B3A1-10C0BAC9BFF6}" name="2019" dataDxfId="224" dataCellStyle="Currency">
      <calculatedColumnFormula>IFERROR(Table1719[[#This Row],[2019]]/C118,"NA")</calculatedColumnFormula>
    </tableColumn>
    <tableColumn id="3" xr3:uid="{892D5E04-9B3F-4487-B064-37DD90129026}" name="2020" dataDxfId="223" dataCellStyle="Currency">
      <calculatedColumnFormula>IFERROR(Table1719[[#This Row],[2020]]/D118,"NA")</calculatedColumnFormula>
    </tableColumn>
    <tableColumn id="4" xr3:uid="{1BBA4C81-2379-4632-B5D0-E08F609AFC43}" name="Trend" dataDxfId="222" dataCellStyle="Percent">
      <calculatedColumnFormula>IFERROR(Table17820[[#This Row],[2020]]/Table17820[[#This Row],[2019]]-1,"NA")</calculatedColumnFormula>
    </tableColumn>
  </tableColumns>
  <tableStyleInfo name="TableStyleMedium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2C7E89D-992D-457D-9A9C-F68E04EB19CE}" name="Table921" displayName="Table921" ref="B145:E168" totalsRowShown="0" headerRowDxfId="221" headerRowBorderDxfId="220" tableBorderDxfId="219" totalsRowBorderDxfId="218">
  <autoFilter ref="B145:E168" xr:uid="{72C7E89D-992D-457D-9A9C-F68E04EB19CE}"/>
  <tableColumns count="4">
    <tableColumn id="1" xr3:uid="{B84335CD-4A45-4CD0-8DCB-207D930E2AE4}" name="Service Category" dataDxfId="217"/>
    <tableColumn id="2" xr3:uid="{6D7902B5-8E2A-4BCA-A4D2-1B38FE2F61C5}" name="2019" dataDxfId="216"/>
    <tableColumn id="3" xr3:uid="{1AA0C54E-9165-43C0-9B6F-8B3ED2C058A8}" name="2020" dataDxfId="215"/>
    <tableColumn id="4" xr3:uid="{57D2BAB9-18F3-440F-8C4B-2FB36344D7AD}" name="Trend" dataDxfId="214" dataCellStyle="Percent">
      <calculatedColumnFormula>IFERROR(Table921[[#This Row],[2020]]/Table921[[#This Row],[2019]]-1,"NA")</calculatedColumnFormula>
    </tableColumn>
  </tableColumns>
  <tableStyleInfo name="TableStyleMedium7"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7023DF8-0527-48A5-AAE0-3F05FF59798E}" name="Table91122" displayName="Table91122" ref="G145:J168" totalsRowShown="0" headerRowDxfId="213" headerRowBorderDxfId="212" tableBorderDxfId="211" totalsRowBorderDxfId="210">
  <autoFilter ref="G145:J168" xr:uid="{B7023DF8-0527-48A5-AAE0-3F05FF59798E}"/>
  <tableColumns count="4">
    <tableColumn id="1" xr3:uid="{681D5186-555C-4F37-8DBA-BE75F68EE86A}" name="Service Category" dataDxfId="209"/>
    <tableColumn id="2" xr3:uid="{7CB22894-E509-4477-BB64-9CC8A3416D4E}" name="2019" dataDxfId="208"/>
    <tableColumn id="3" xr3:uid="{D2718B98-CFF7-4DA0-873A-294B8F8B25C2}" name="2020" dataDxfId="207"/>
    <tableColumn id="4" xr3:uid="{76F12087-309B-454B-B92C-F268CC3BC1FA}" name="Trend" dataDxfId="206" dataCellStyle="Percent">
      <calculatedColumnFormula>IFERROR(Table91122[[#This Row],[2020]]/Table91122[[#This Row],[2019]]-1,"NA")</calculatedColumnFormula>
    </tableColumn>
  </tableColumns>
  <tableStyleInfo name="TableStyleMedium7"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13214450-70B9-4199-8730-7B8FDD175E44}" name="Table9111223" displayName="Table9111223" ref="L145:O168" totalsRowShown="0" headerRowDxfId="205" headerRowBorderDxfId="204" tableBorderDxfId="203" totalsRowBorderDxfId="202">
  <autoFilter ref="L145:O168" xr:uid="{13214450-70B9-4199-8730-7B8FDD175E44}"/>
  <tableColumns count="4">
    <tableColumn id="1" xr3:uid="{F71804A9-5464-4581-814B-DB58E17F6BC2}" name="Service Category" dataDxfId="201"/>
    <tableColumn id="2" xr3:uid="{DBE45E4A-6097-4CB5-B7F1-0ADE35E78E03}" name="2019" dataDxfId="200"/>
    <tableColumn id="3" xr3:uid="{9793BDCD-8378-49F4-862D-8E5A6F9588CF}" name="2020" dataDxfId="199"/>
    <tableColumn id="4" xr3:uid="{C8E503DC-FD7B-49E7-B0F9-6827186FB4D4}" name="Trend" dataDxfId="198" dataCellStyle="Percent">
      <calculatedColumnFormula>IFERROR(Table9111223[[#This Row],[2020]]/Table9111223[[#This Row],[2019]]-1,"NA")</calculatedColumnFormula>
    </tableColumn>
  </tableColumns>
  <tableStyleInfo name="TableStyleMedium7"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C137398-9983-4072-A88C-05121FEEE1FB}" name="Table91324" displayName="Table91324" ref="B172:E195" totalsRowShown="0" headerRowDxfId="197" headerRowBorderDxfId="196" tableBorderDxfId="195" totalsRowBorderDxfId="194">
  <autoFilter ref="B172:E195" xr:uid="{CC137398-9983-4072-A88C-05121FEEE1FB}"/>
  <tableColumns count="4">
    <tableColumn id="1" xr3:uid="{BAB5CFB8-F3A1-4363-B775-5C44991C7FB1}" name="Service Category" dataDxfId="193"/>
    <tableColumn id="2" xr3:uid="{B43A9B0A-24C6-4D89-91F3-25BD112D96AF}" name="2019" dataDxfId="192"/>
    <tableColumn id="3" xr3:uid="{C13FB868-376F-4A6E-BB9F-AA43B9DCC9ED}" name="2020" dataDxfId="191"/>
    <tableColumn id="4" xr3:uid="{6FD534D3-249D-42CF-AFB7-EC2E7511002B}" name="Trend" dataDxfId="190" dataCellStyle="Percent">
      <calculatedColumnFormula>IFERROR(Table91324[[#This Row],[2020]]/Table91324[[#This Row],[2019]]-1,"NA")</calculatedColumnFormula>
    </tableColumn>
  </tableColumns>
  <tableStyleInfo name="TableStyleMedium7"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DE0E4A85-3D24-46BC-9DB3-90E734FABE72}" name="Table9111425" displayName="Table9111425" ref="G172:J195" totalsRowShown="0" headerRowDxfId="189" headerRowBorderDxfId="188" tableBorderDxfId="187" totalsRowBorderDxfId="186">
  <autoFilter ref="G172:J195" xr:uid="{DE0E4A85-3D24-46BC-9DB3-90E734FABE72}"/>
  <tableColumns count="4">
    <tableColumn id="1" xr3:uid="{01A1C8A1-4B0D-4AF8-BF6E-918B34B1CEA3}" name="Service Category" dataDxfId="185"/>
    <tableColumn id="2" xr3:uid="{6B7A7709-BFFE-4A68-B0B9-89416A35806F}" name="2019" dataDxfId="184"/>
    <tableColumn id="3" xr3:uid="{41C7B913-D1F0-41C9-A4C8-37D92FCF318C}" name="2020" dataDxfId="183"/>
    <tableColumn id="4" xr3:uid="{23F71D27-4236-47B7-95CF-71DE1BF7A00B}" name="Trend" dataDxfId="182" dataCellStyle="Percent">
      <calculatedColumnFormula>IFERROR(Table9111425[[#This Row],[2020]]/Table9111425[[#This Row],[2019]]-1,"NA")</calculatedColumnFormula>
    </tableColumn>
  </tableColumns>
  <tableStyleInfo name="TableStyleMedium7"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115A1B5-EB02-4F92-900F-EED385448DD6}" name="Table911121526" displayName="Table911121526" ref="L172:O195" totalsRowShown="0" headerRowDxfId="181" headerRowBorderDxfId="180" tableBorderDxfId="179" totalsRowBorderDxfId="178">
  <autoFilter ref="L172:O195" xr:uid="{9115A1B5-EB02-4F92-900F-EED385448DD6}"/>
  <tableColumns count="4">
    <tableColumn id="1" xr3:uid="{DB2056F4-5FA4-4DBC-A559-69460BF3625C}" name="Service Category" dataDxfId="177"/>
    <tableColumn id="2" xr3:uid="{E4ADD406-CA3B-453E-AFA2-8EEAFD1A24C1}" name="2019" dataDxfId="176" dataCellStyle="Currency"/>
    <tableColumn id="3" xr3:uid="{50FB6C5F-4CF8-4733-918A-114FC5A6B4F2}" name="2020" dataDxfId="175" dataCellStyle="Currency"/>
    <tableColumn id="4" xr3:uid="{50C36D9C-1E67-4A85-B899-AAA7348640B3}" name="Trend" dataDxfId="174" dataCellStyle="Percent">
      <calculatedColumnFormula>IFERROR(Table911121526[[#This Row],[2020]]/Table911121526[[#This Row],[2019]]-1,"NA")</calculatedColumnFormula>
    </tableColumn>
  </tableColumns>
  <tableStyleInfo name="TableStyleMedium7"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7668E940-426A-42E6-B3A8-5EFFF7B83715}" name="Table9131627" displayName="Table9131627" ref="B199:E222" totalsRowShown="0" headerRowDxfId="173" headerRowBorderDxfId="172" tableBorderDxfId="171" totalsRowBorderDxfId="170">
  <autoFilter ref="B199:E222" xr:uid="{7668E940-426A-42E6-B3A8-5EFFF7B83715}"/>
  <tableColumns count="4">
    <tableColumn id="1" xr3:uid="{970A48E4-F270-49B4-A18C-B194EC36D754}" name="Service Category" dataDxfId="169"/>
    <tableColumn id="2" xr3:uid="{6B51A1AC-89A6-4F76-ABBB-679873775B74}" name="2019" dataDxfId="168"/>
    <tableColumn id="3" xr3:uid="{7DC2F6D6-B6D6-480D-9BC7-632592A3F968}" name="2020" dataDxfId="167"/>
    <tableColumn id="4" xr3:uid="{9291268A-5F42-440B-AF48-992DC0FA16CA}" name="Trend" dataDxfId="166" dataCellStyle="Percent">
      <calculatedColumnFormula>IFERROR(Table9131627[[#This Row],[2020]]/Table9131627[[#This Row],[2019]]-1,"NA")</calculatedColumnFormula>
    </tableColumn>
  </tableColumns>
  <tableStyleInfo name="TableStyleMedium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2C04C8C-2160-4797-BD15-6DA935DD92C7}" name="Table911141728" displayName="Table911141728" ref="G199:J222" totalsRowShown="0" headerRowDxfId="165" headerRowBorderDxfId="164" tableBorderDxfId="163" totalsRowBorderDxfId="162">
  <autoFilter ref="G199:J222" xr:uid="{12C04C8C-2160-4797-BD15-6DA935DD92C7}"/>
  <tableColumns count="4">
    <tableColumn id="1" xr3:uid="{739BBC6E-DA47-4F43-8224-8E8C4032E7EF}" name="Service Category" dataDxfId="161"/>
    <tableColumn id="2" xr3:uid="{476B6F18-99C8-4AC9-9010-C00F5AC88840}" name="2019" dataDxfId="160"/>
    <tableColumn id="3" xr3:uid="{146B6C90-44A4-4B59-BFD1-A544DD4C6FD7}" name="2020" dataDxfId="159"/>
    <tableColumn id="4" xr3:uid="{C6461660-6146-4B07-85D7-F5A7EE24B772}" name="Trend" dataDxfId="158" dataCellStyle="Percent">
      <calculatedColumnFormula>IFERROR(Table911141728[[#This Row],[2020]]/Table911141728[[#This Row],[2019]]-1,"NA")</calculatedColumnFormula>
    </tableColumn>
  </tableColumns>
  <tableStyleInfo name="TableStyleMedium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9CC9DE88-07A3-4593-96CF-5F5D1A2D9181}" name="Table91112151829" displayName="Table91112151829" ref="L199:O222" totalsRowShown="0" headerRowDxfId="157" headerRowBorderDxfId="156" tableBorderDxfId="155" totalsRowBorderDxfId="154">
  <autoFilter ref="L199:O222" xr:uid="{9CC9DE88-07A3-4593-96CF-5F5D1A2D9181}"/>
  <tableColumns count="4">
    <tableColumn id="1" xr3:uid="{5F4B5623-B4C9-4EEF-9A7F-3F7DCB7FF210}" name="Service Category" dataDxfId="153"/>
    <tableColumn id="2" xr3:uid="{7DABFE5A-4055-48F8-A4BB-B913AF14B328}" name="2019" dataDxfId="152"/>
    <tableColumn id="3" xr3:uid="{8B95B6B5-EFC3-4D21-B43F-482C81952C05}" name="2020" dataDxfId="151"/>
    <tableColumn id="4" xr3:uid="{E8797C20-BBD5-435F-B910-34E378F7BDDC}" name="Trend" dataDxfId="150" dataCellStyle="Percent">
      <calculatedColumnFormula>IFERROR(Table91112151829[[#This Row],[2020]]/Table91112151829[[#This Row],[2019]]-1,"NA")</calculatedColumnFormula>
    </tableColumn>
  </tableColumns>
  <tableStyleInfo name="TableStyleMedium7"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413BEAB-1B6E-401E-89BE-AF6035E15902}" name="Table1930" displayName="Table1930" ref="B227:E237" totalsRowShown="0" headerRowDxfId="149" headerRowBorderDxfId="148" tableBorderDxfId="147" totalsRowBorderDxfId="146">
  <autoFilter ref="B227:E237" xr:uid="{1413BEAB-1B6E-401E-89BE-AF6035E15902}"/>
  <tableColumns count="4">
    <tableColumn id="1" xr3:uid="{F6849EC5-EA62-449C-8929-490A77AA2997}" name="Line of Business" dataDxfId="145"/>
    <tableColumn id="2" xr3:uid="{048148E1-1283-485D-AA34-1C99DFFAEA6B}" name="2020" dataDxfId="144"/>
    <tableColumn id="3" xr3:uid="{E4CA65F9-7056-4AE9-8795-8951AC409124}" name="2021" dataDxfId="143"/>
    <tableColumn id="4" xr3:uid="{01A487DE-1CA5-4954-972E-FC5DA61FA7EA}" name="Trend" dataDxfId="142" dataCellStyle="Percent">
      <calculatedColumnFormula>IFERROR(Table1930[[#This Row],[2021]]/Table1930[[#This Row],[2020]]-1,"NA")</calculatedColumnFormula>
    </tableColumn>
  </tableColumns>
  <tableStyleInfo name="TableStyleMedium10"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4CBC012C-9580-4139-856E-8C8CFFBFF082}" name="Table171931" displayName="Table171931" ref="B241:E251" totalsRowShown="0" headerRowDxfId="141" headerRowBorderDxfId="140" tableBorderDxfId="139" totalsRowBorderDxfId="138">
  <autoFilter ref="B241:E251" xr:uid="{4CBC012C-9580-4139-856E-8C8CFFBFF082}"/>
  <tableColumns count="4">
    <tableColumn id="1" xr3:uid="{4A0D642E-B027-4930-8900-FD1EF71067AA}" name="Line of Business" dataDxfId="137"/>
    <tableColumn id="2" xr3:uid="{75A64D7F-63C1-4292-A20D-0311570DB8FF}" name="2020" dataDxfId="136" dataCellStyle="Currency"/>
    <tableColumn id="3" xr3:uid="{E78F8551-047E-40FB-8835-2473A8E52417}" name="2021" dataDxfId="135" dataCellStyle="Currency"/>
    <tableColumn id="4" xr3:uid="{DB76A731-DC05-4083-86BA-6170537B1D67}" name="Trend" dataDxfId="134" dataCellStyle="Percent">
      <calculatedColumnFormula>IFERROR(Table171931[[#This Row],[2021]]/Table171931[[#This Row],[2020]]-1,"NA")</calculatedColumnFormula>
    </tableColumn>
  </tableColumns>
  <tableStyleInfo name="TableStyleMedium1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F259D8D4-8F27-4916-9071-F098FBF9D64D}" name="Table1782032" displayName="Table1782032" ref="G241:J251" totalsRowShown="0" headerRowDxfId="133" headerRowBorderDxfId="132" tableBorderDxfId="131" totalsRowBorderDxfId="130">
  <autoFilter ref="G241:J251" xr:uid="{F259D8D4-8F27-4916-9071-F098FBF9D64D}"/>
  <tableColumns count="4">
    <tableColumn id="1" xr3:uid="{BF95F6F6-5827-4C33-BA11-6B932D3D55B1}" name="Line of Business" dataDxfId="129"/>
    <tableColumn id="2" xr3:uid="{E1775BE9-6D5F-44A3-B2B2-BC9CA8BB5120}" name="2020" dataDxfId="128" dataCellStyle="Currency">
      <calculatedColumnFormula>IFERROR(Table171931[[#This Row],[2020]]/C228,"NA")</calculatedColumnFormula>
    </tableColumn>
    <tableColumn id="3" xr3:uid="{903D18FC-1B59-4DBA-BEFF-7D3A41F08458}" name="2021" dataDxfId="127" dataCellStyle="Currency">
      <calculatedColumnFormula>IFERROR(Table171931[[#This Row],[2021]]/D228,"NA")</calculatedColumnFormula>
    </tableColumn>
    <tableColumn id="4" xr3:uid="{1F4BB873-196D-421B-A48A-84251E92CB50}" name="Trend" dataDxfId="126" dataCellStyle="Percent">
      <calculatedColumnFormula>IFERROR(Table1782032[[#This Row],[2021]]/Table1782032[[#This Row],[2020]]-1,"NA")</calculatedColumnFormula>
    </tableColumn>
  </tableColumns>
  <tableStyleInfo name="TableStyleMedium10"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29A500E-BD7E-41A0-9A7D-3977DDD79C07}" name="Table92133" displayName="Table92133" ref="B255:E278" totalsRowShown="0" headerRowDxfId="125" headerRowBorderDxfId="124" tableBorderDxfId="123" totalsRowBorderDxfId="122">
  <autoFilter ref="B255:E278" xr:uid="{B29A500E-BD7E-41A0-9A7D-3977DDD79C07}"/>
  <tableColumns count="4">
    <tableColumn id="1" xr3:uid="{29D5EA18-B29B-4F69-B00C-F1358B558AB7}" name="Service Category" dataDxfId="121"/>
    <tableColumn id="2" xr3:uid="{3EB8A584-86E8-4D10-8D28-55A4F00C51F5}" name="2020" dataDxfId="120"/>
    <tableColumn id="3" xr3:uid="{E9E6474B-758A-4010-89D1-7796A798BBFF}" name="2021" dataDxfId="119"/>
    <tableColumn id="4" xr3:uid="{18D58E1C-E449-449B-911A-F6F7391EE982}" name="Trend" dataDxfId="118" dataCellStyle="Percent">
      <calculatedColumnFormula>IFERROR(Table92133[[#This Row],[2021]]/Table92133[[#This Row],[2020]]-1,"NA")</calculatedColumnFormula>
    </tableColumn>
  </tableColumns>
  <tableStyleInfo name="TableStyleMedium10"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F9F8F7B5-DB51-48D8-A0DB-43244C81C90E}" name="Table9112234" displayName="Table9112234" ref="G255:J278" totalsRowShown="0" headerRowDxfId="117" headerRowBorderDxfId="116" tableBorderDxfId="115" totalsRowBorderDxfId="114">
  <autoFilter ref="G255:J278" xr:uid="{F9F8F7B5-DB51-48D8-A0DB-43244C81C90E}"/>
  <tableColumns count="4">
    <tableColumn id="1" xr3:uid="{2B55F94A-C3C9-449D-937E-891553A13129}" name="Service Category" dataDxfId="113"/>
    <tableColumn id="2" xr3:uid="{5DEB1E53-9204-47F0-A06E-FD715F841445}" name="2020" dataDxfId="112"/>
    <tableColumn id="3" xr3:uid="{E81119E3-279E-4CD0-A090-11A61805A67C}" name="2021" dataDxfId="111"/>
    <tableColumn id="4" xr3:uid="{DE810A8E-6267-4D7E-AA39-317B62652FE1}" name="Trend" dataDxfId="110" dataCellStyle="Percent">
      <calculatedColumnFormula>IFERROR(Table9112234[[#This Row],[2021]]/Table9112234[[#This Row],[2020]]-1,"NA")</calculatedColumnFormula>
    </tableColumn>
  </tableColumns>
  <tableStyleInfo name="TableStyleMedium10"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D093D082-B671-4743-883B-31EDFCD2F93E}" name="Table911122335" displayName="Table911122335" ref="L255:O278" totalsRowShown="0" headerRowDxfId="109" headerRowBorderDxfId="108" tableBorderDxfId="107" totalsRowBorderDxfId="106">
  <autoFilter ref="L255:O278" xr:uid="{D093D082-B671-4743-883B-31EDFCD2F93E}"/>
  <tableColumns count="4">
    <tableColumn id="1" xr3:uid="{2FD0B743-AF40-497A-86B4-FCB9E117EC6E}" name="Service Category" dataDxfId="105"/>
    <tableColumn id="2" xr3:uid="{9F4BF4E4-5FC4-4572-8351-EB0ADC96DB05}" name="2020" dataDxfId="104"/>
    <tableColumn id="3" xr3:uid="{DB233CA7-FB6C-4850-936C-B16E78F25629}" name="2021" dataDxfId="103"/>
    <tableColumn id="4" xr3:uid="{A24B5158-FDBE-4095-B124-70793D1289DB}" name="Trend" dataDxfId="102" dataCellStyle="Percent">
      <calculatedColumnFormula>IFERROR(Table911122335[[#This Row],[2021]]/Table911122335[[#This Row],[2020]]-1,"NA")</calculatedColumnFormula>
    </tableColumn>
  </tableColumns>
  <tableStyleInfo name="TableStyleMedium10"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7E4E1139-978F-4A2C-8E26-01C2AD19035E}" name="Table9132436" displayName="Table9132436" ref="B282:E305" totalsRowShown="0" headerRowDxfId="101" headerRowBorderDxfId="100" tableBorderDxfId="99" totalsRowBorderDxfId="98">
  <autoFilter ref="B282:E305" xr:uid="{7E4E1139-978F-4A2C-8E26-01C2AD19035E}"/>
  <tableColumns count="4">
    <tableColumn id="1" xr3:uid="{2AA57FD0-5BCA-45A8-BD96-F0CCDADF66F3}" name="Service Category" dataDxfId="97"/>
    <tableColumn id="2" xr3:uid="{8E5ABEA7-423E-43E2-A32F-2B259B98FC26}" name="2020" dataDxfId="96"/>
    <tableColumn id="3" xr3:uid="{B7612A1F-AC4E-4B16-913E-FBE75A728960}" name="2021" dataDxfId="95"/>
    <tableColumn id="4" xr3:uid="{ED8CB736-36A9-442A-827F-4BE9F49118F8}" name="Trend" dataDxfId="94" dataCellStyle="Percent">
      <calculatedColumnFormula>IFERROR(Table9132436[[#This Row],[2021]]/Table9132436[[#This Row],[2020]]-1,"NA")</calculatedColumnFormula>
    </tableColumn>
  </tableColumns>
  <tableStyleInfo name="TableStyleMedium10"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30166C45-3D92-4704-96B8-695C7A287F04}" name="Table911142537" displayName="Table911142537" ref="G282:J305" totalsRowShown="0" headerRowDxfId="93" headerRowBorderDxfId="92" tableBorderDxfId="91" totalsRowBorderDxfId="90">
  <autoFilter ref="G282:J305" xr:uid="{30166C45-3D92-4704-96B8-695C7A287F04}"/>
  <tableColumns count="4">
    <tableColumn id="1" xr3:uid="{EF13E025-731F-449D-B07A-DBA6F247F522}" name="Service Category" dataDxfId="89"/>
    <tableColumn id="2" xr3:uid="{F48C6831-1FF8-410F-8842-30142FA1C5A1}" name="2020" dataDxfId="88"/>
    <tableColumn id="3" xr3:uid="{D9EB22C3-4331-4840-945F-06613BD4D4AB}" name="2021" dataDxfId="87"/>
    <tableColumn id="4" xr3:uid="{6905C05D-8923-4C6A-AEAC-8BECB9C4E7CD}" name="Trend" dataDxfId="86" dataCellStyle="Percent">
      <calculatedColumnFormula>IFERROR(Table911142537[[#This Row],[2021]]/Table911142537[[#This Row],[2020]]-1,"NA")</calculatedColumnFormula>
    </tableColumn>
  </tableColumns>
  <tableStyleInfo name="TableStyleMedium10"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807825D-F8B6-4A11-BDE2-18959920E53C}" name="Table91112152638" displayName="Table91112152638" ref="L282:O305" totalsRowShown="0" headerRowDxfId="85" headerRowBorderDxfId="84" tableBorderDxfId="83" totalsRowBorderDxfId="82">
  <autoFilter ref="L282:O305" xr:uid="{3807825D-F8B6-4A11-BDE2-18959920E53C}"/>
  <tableColumns count="4">
    <tableColumn id="1" xr3:uid="{46BF5592-0A91-4FF7-9266-3BFC4CA790C1}" name="Service Category" dataDxfId="81"/>
    <tableColumn id="2" xr3:uid="{24F2B1A1-EDF8-4D42-A5ED-2DA0CF5875BF}" name="2020" dataDxfId="80" dataCellStyle="Currency"/>
    <tableColumn id="3" xr3:uid="{40ED0699-3E4B-4460-B588-553B11E0F29A}" name="2021" dataDxfId="79" dataCellStyle="Currency"/>
    <tableColumn id="4" xr3:uid="{66922838-834C-4730-AC5A-DD9E2705D92E}" name="Trend" dataDxfId="78" dataCellStyle="Percent">
      <calculatedColumnFormula>IFERROR(Table91112152638[[#This Row],[2021]]/Table91112152638[[#This Row],[2020]]-1,"NA")</calculatedColumnFormula>
    </tableColumn>
  </tableColumns>
  <tableStyleInfo name="TableStyleMedium10"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CE7F65FE-0BF1-41AD-9BF9-5DB7FF0149BA}" name="Table913162739" displayName="Table913162739" ref="B309:E332" totalsRowShown="0" headerRowDxfId="77" headerRowBorderDxfId="76" tableBorderDxfId="75" totalsRowBorderDxfId="74">
  <autoFilter ref="B309:E332" xr:uid="{CE7F65FE-0BF1-41AD-9BF9-5DB7FF0149BA}"/>
  <tableColumns count="4">
    <tableColumn id="1" xr3:uid="{E1027A2E-EFBC-4372-8094-1CE0AFD4355F}" name="Service Category" dataDxfId="73"/>
    <tableColumn id="2" xr3:uid="{3207F098-2360-455E-9A88-FC6C48B09807}" name="2020" dataDxfId="72"/>
    <tableColumn id="3" xr3:uid="{3CF1993D-76D4-4BDC-8257-B641D5D5E500}" name="2021" dataDxfId="71"/>
    <tableColumn id="4" xr3:uid="{2954EF12-BDBB-4184-8427-55C6AB75C116}" name="Trend" dataDxfId="70" dataCellStyle="Percent">
      <calculatedColumnFormula>IFERROR(Table913162739[[#This Row],[2021]]/Table913162739[[#This Row],[2020]]-1,"NA")</calculatedColumnFormula>
    </tableColumn>
  </tableColumns>
  <tableStyleInfo name="TableStyleMedium10"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BCE1DED3-3432-4346-B805-B3C150F38589}" name="Table91114172840" displayName="Table91114172840" ref="G309:J332" totalsRowShown="0" headerRowDxfId="69" headerRowBorderDxfId="68" tableBorderDxfId="67" totalsRowBorderDxfId="66">
  <autoFilter ref="G309:J332" xr:uid="{BCE1DED3-3432-4346-B805-B3C150F38589}"/>
  <tableColumns count="4">
    <tableColumn id="1" xr3:uid="{F69F31F5-C551-44DE-AC36-B7C720CBFA03}" name="Service Category" dataDxfId="65"/>
    <tableColumn id="2" xr3:uid="{D9A66C1F-44BB-4033-B01D-6A202E82A33E}" name="2020" dataDxfId="64"/>
    <tableColumn id="3" xr3:uid="{BF5A79ED-80BE-4DE3-855E-2CD43CEB39BC}" name="2021" dataDxfId="63"/>
    <tableColumn id="4" xr3:uid="{E9128A95-8E70-4E71-8713-77648059E127}" name="Trend" dataDxfId="62" dataCellStyle="Percent">
      <calculatedColumnFormula>IFERROR(Table91114172840[[#This Row],[2021]]/Table91114172840[[#This Row],[2020]]-1,"NA")</calculatedColumnFormula>
    </tableColumn>
  </tableColumns>
  <tableStyleInfo name="TableStyleMedium10"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E8F6DF2D-D8BE-458D-89DB-DBAEFBF02A99}" name="Table9111215182941" displayName="Table9111215182941" ref="L309:O332" totalsRowShown="0" headerRowDxfId="61" headerRowBorderDxfId="60" tableBorderDxfId="59" totalsRowBorderDxfId="58">
  <autoFilter ref="L309:O332" xr:uid="{E8F6DF2D-D8BE-458D-89DB-DBAEFBF02A99}"/>
  <tableColumns count="4">
    <tableColumn id="1" xr3:uid="{D3675E4A-5965-45BB-BA70-E23FA85B7930}" name="Service Category" dataDxfId="57"/>
    <tableColumn id="2" xr3:uid="{9A8D8892-3163-4894-83D8-CD465E614D12}" name="2020" dataDxfId="56"/>
    <tableColumn id="3" xr3:uid="{79F01FCB-0AB8-492D-83DB-7B8284E594FD}" name="2021" dataDxfId="55"/>
    <tableColumn id="4" xr3:uid="{5FAA1819-913B-4376-BAF8-B86710A4CA44}" name="Trend" dataDxfId="54" dataCellStyle="Percent">
      <calculatedColumnFormula>IFERROR(Table9111215182941[[#This Row],[2021]]/Table9111215182941[[#This Row],[2020]]-1,"NA")</calculatedColumnFormula>
    </tableColumn>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3" Type="http://schemas.openxmlformats.org/officeDocument/2006/relationships/table" Target="../tables/table17.xml"/><Relationship Id="rId18" Type="http://schemas.openxmlformats.org/officeDocument/2006/relationships/table" Target="../tables/table22.xml"/><Relationship Id="rId26" Type="http://schemas.openxmlformats.org/officeDocument/2006/relationships/table" Target="../tables/table30.xml"/><Relationship Id="rId3" Type="http://schemas.openxmlformats.org/officeDocument/2006/relationships/table" Target="../tables/table7.xml"/><Relationship Id="rId21" Type="http://schemas.openxmlformats.org/officeDocument/2006/relationships/table" Target="../tables/table25.xml"/><Relationship Id="rId34" Type="http://schemas.openxmlformats.org/officeDocument/2006/relationships/table" Target="../tables/table38.xml"/><Relationship Id="rId7" Type="http://schemas.openxmlformats.org/officeDocument/2006/relationships/table" Target="../tables/table11.xml"/><Relationship Id="rId12" Type="http://schemas.openxmlformats.org/officeDocument/2006/relationships/table" Target="../tables/table16.xml"/><Relationship Id="rId17" Type="http://schemas.openxmlformats.org/officeDocument/2006/relationships/table" Target="../tables/table21.xml"/><Relationship Id="rId25" Type="http://schemas.openxmlformats.org/officeDocument/2006/relationships/table" Target="../tables/table29.xml"/><Relationship Id="rId33" Type="http://schemas.openxmlformats.org/officeDocument/2006/relationships/table" Target="../tables/table37.xml"/><Relationship Id="rId2" Type="http://schemas.openxmlformats.org/officeDocument/2006/relationships/table" Target="../tables/table6.xml"/><Relationship Id="rId16" Type="http://schemas.openxmlformats.org/officeDocument/2006/relationships/table" Target="../tables/table20.xml"/><Relationship Id="rId20" Type="http://schemas.openxmlformats.org/officeDocument/2006/relationships/table" Target="../tables/table24.xml"/><Relationship Id="rId29" Type="http://schemas.openxmlformats.org/officeDocument/2006/relationships/table" Target="../tables/table33.xml"/><Relationship Id="rId1" Type="http://schemas.openxmlformats.org/officeDocument/2006/relationships/table" Target="../tables/table5.xml"/><Relationship Id="rId6" Type="http://schemas.openxmlformats.org/officeDocument/2006/relationships/table" Target="../tables/table10.xml"/><Relationship Id="rId11" Type="http://schemas.openxmlformats.org/officeDocument/2006/relationships/table" Target="../tables/table15.xml"/><Relationship Id="rId24" Type="http://schemas.openxmlformats.org/officeDocument/2006/relationships/table" Target="../tables/table28.xml"/><Relationship Id="rId32" Type="http://schemas.openxmlformats.org/officeDocument/2006/relationships/table" Target="../tables/table36.xml"/><Relationship Id="rId5" Type="http://schemas.openxmlformats.org/officeDocument/2006/relationships/table" Target="../tables/table9.xml"/><Relationship Id="rId15" Type="http://schemas.openxmlformats.org/officeDocument/2006/relationships/table" Target="../tables/table19.xml"/><Relationship Id="rId23" Type="http://schemas.openxmlformats.org/officeDocument/2006/relationships/table" Target="../tables/table27.xml"/><Relationship Id="rId28" Type="http://schemas.openxmlformats.org/officeDocument/2006/relationships/table" Target="../tables/table32.xml"/><Relationship Id="rId36" Type="http://schemas.openxmlformats.org/officeDocument/2006/relationships/table" Target="../tables/table40.xml"/><Relationship Id="rId10" Type="http://schemas.openxmlformats.org/officeDocument/2006/relationships/table" Target="../tables/table14.xml"/><Relationship Id="rId19" Type="http://schemas.openxmlformats.org/officeDocument/2006/relationships/table" Target="../tables/table23.xml"/><Relationship Id="rId31" Type="http://schemas.openxmlformats.org/officeDocument/2006/relationships/table" Target="../tables/table35.xml"/><Relationship Id="rId4" Type="http://schemas.openxmlformats.org/officeDocument/2006/relationships/table" Target="../tables/table8.xml"/><Relationship Id="rId9" Type="http://schemas.openxmlformats.org/officeDocument/2006/relationships/table" Target="../tables/table13.xml"/><Relationship Id="rId14" Type="http://schemas.openxmlformats.org/officeDocument/2006/relationships/table" Target="../tables/table18.xml"/><Relationship Id="rId22" Type="http://schemas.openxmlformats.org/officeDocument/2006/relationships/table" Target="../tables/table26.xml"/><Relationship Id="rId27" Type="http://schemas.openxmlformats.org/officeDocument/2006/relationships/table" Target="../tables/table31.xml"/><Relationship Id="rId30" Type="http://schemas.openxmlformats.org/officeDocument/2006/relationships/table" Target="../tables/table34.xml"/><Relationship Id="rId35" Type="http://schemas.openxmlformats.org/officeDocument/2006/relationships/table" Target="../tables/table39.xml"/><Relationship Id="rId8" Type="http://schemas.openxmlformats.org/officeDocument/2006/relationships/table" Target="../tables/table1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E7B87-71CA-44C5-8E22-C1E3AE80FAF5}">
  <dimension ref="A1:B16"/>
  <sheetViews>
    <sheetView tabSelected="1" zoomScaleNormal="100" workbookViewId="0">
      <selection activeCell="A20" sqref="A20"/>
    </sheetView>
  </sheetViews>
  <sheetFormatPr defaultRowHeight="14.5" x14ac:dyDescent="0.35"/>
  <cols>
    <col min="1" max="1" width="29.54296875" customWidth="1"/>
    <col min="2" max="2" width="75.54296875" bestFit="1" customWidth="1"/>
  </cols>
  <sheetData>
    <row r="1" spans="1:2" ht="18.5" x14ac:dyDescent="0.35">
      <c r="A1" s="2" t="s">
        <v>0</v>
      </c>
      <c r="B1" s="3"/>
    </row>
    <row r="2" spans="1:2" ht="15.5" x14ac:dyDescent="0.35">
      <c r="A2" s="4" t="s">
        <v>362</v>
      </c>
      <c r="B2" s="5"/>
    </row>
    <row r="3" spans="1:2" x14ac:dyDescent="0.35">
      <c r="A3" s="5"/>
      <c r="B3" s="5"/>
    </row>
    <row r="4" spans="1:2" x14ac:dyDescent="0.35">
      <c r="A4" s="6" t="s">
        <v>1</v>
      </c>
      <c r="B4" s="5"/>
    </row>
    <row r="5" spans="1:2" x14ac:dyDescent="0.35">
      <c r="A5" s="5"/>
      <c r="B5" s="5"/>
    </row>
    <row r="6" spans="1:2" x14ac:dyDescent="0.35">
      <c r="A6" s="11" t="s">
        <v>2</v>
      </c>
      <c r="B6" s="12" t="s">
        <v>3</v>
      </c>
    </row>
    <row r="7" spans="1:2" x14ac:dyDescent="0.35">
      <c r="A7" s="7" t="s">
        <v>4</v>
      </c>
      <c r="B7" s="8" t="s">
        <v>5</v>
      </c>
    </row>
    <row r="8" spans="1:2" x14ac:dyDescent="0.35">
      <c r="A8" s="7" t="s">
        <v>6</v>
      </c>
      <c r="B8" s="8" t="s">
        <v>7</v>
      </c>
    </row>
    <row r="9" spans="1:2" ht="29" x14ac:dyDescent="0.35">
      <c r="A9" s="7" t="s">
        <v>8</v>
      </c>
      <c r="B9" s="9" t="s">
        <v>270</v>
      </c>
    </row>
    <row r="10" spans="1:2" ht="29" x14ac:dyDescent="0.35">
      <c r="A10" s="7" t="s">
        <v>9</v>
      </c>
      <c r="B10" s="9" t="s">
        <v>271</v>
      </c>
    </row>
    <row r="11" spans="1:2" x14ac:dyDescent="0.35">
      <c r="A11" s="7" t="s">
        <v>10</v>
      </c>
      <c r="B11" s="8" t="s">
        <v>11</v>
      </c>
    </row>
    <row r="12" spans="1:2" x14ac:dyDescent="0.35">
      <c r="A12" s="7" t="s">
        <v>12</v>
      </c>
      <c r="B12" s="8" t="s">
        <v>13</v>
      </c>
    </row>
    <row r="13" spans="1:2" x14ac:dyDescent="0.35">
      <c r="A13" s="7" t="s">
        <v>14</v>
      </c>
      <c r="B13" s="8" t="s">
        <v>15</v>
      </c>
    </row>
    <row r="14" spans="1:2" ht="30" customHeight="1" x14ac:dyDescent="0.35">
      <c r="A14" s="50" t="s">
        <v>16</v>
      </c>
      <c r="B14" s="98" t="s">
        <v>17</v>
      </c>
    </row>
    <row r="15" spans="1:2" ht="30" customHeight="1" x14ac:dyDescent="0.35">
      <c r="A15" s="50" t="s">
        <v>18</v>
      </c>
      <c r="B15" s="98" t="s">
        <v>17</v>
      </c>
    </row>
    <row r="16" spans="1:2" ht="30" customHeight="1" x14ac:dyDescent="0.35">
      <c r="A16" s="99" t="s">
        <v>19</v>
      </c>
      <c r="B16" s="98"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03F45-8207-4E22-9F46-61E28FAEF425}">
  <dimension ref="A1:C55"/>
  <sheetViews>
    <sheetView topLeftCell="A29" zoomScale="140" zoomScaleNormal="140" workbookViewId="0">
      <selection activeCell="A31" sqref="A31"/>
    </sheetView>
  </sheetViews>
  <sheetFormatPr defaultColWidth="9.1796875" defaultRowHeight="14.5" x14ac:dyDescent="0.35"/>
  <cols>
    <col min="1" max="1" width="32.453125" bestFit="1" customWidth="1"/>
    <col min="2" max="2" width="61.54296875" customWidth="1"/>
  </cols>
  <sheetData>
    <row r="1" spans="1:3" ht="18.5" x14ac:dyDescent="0.35">
      <c r="A1" s="13" t="s">
        <v>4</v>
      </c>
      <c r="B1" s="1"/>
      <c r="C1" s="1"/>
    </row>
    <row r="2" spans="1:3" ht="15" customHeight="1" x14ac:dyDescent="0.35">
      <c r="A2" s="13"/>
      <c r="B2" s="1"/>
      <c r="C2" s="1"/>
    </row>
    <row r="4" spans="1:3" x14ac:dyDescent="0.35">
      <c r="A4" s="10" t="s">
        <v>20</v>
      </c>
      <c r="B4" s="10" t="s">
        <v>21</v>
      </c>
    </row>
    <row r="5" spans="1:3" x14ac:dyDescent="0.35">
      <c r="A5" s="48">
        <v>1</v>
      </c>
      <c r="B5" s="49" t="s">
        <v>22</v>
      </c>
    </row>
    <row r="6" spans="1:3" x14ac:dyDescent="0.35">
      <c r="A6" s="48">
        <v>2</v>
      </c>
      <c r="B6" s="49" t="s">
        <v>23</v>
      </c>
    </row>
    <row r="7" spans="1:3" x14ac:dyDescent="0.35">
      <c r="A7" s="48">
        <v>3</v>
      </c>
      <c r="B7" s="49" t="s">
        <v>24</v>
      </c>
    </row>
    <row r="8" spans="1:3" x14ac:dyDescent="0.35">
      <c r="A8" s="48">
        <v>4</v>
      </c>
      <c r="B8" s="49" t="s">
        <v>25</v>
      </c>
    </row>
    <row r="9" spans="1:3" x14ac:dyDescent="0.35">
      <c r="A9" s="48">
        <v>5</v>
      </c>
      <c r="B9" s="50" t="s">
        <v>26</v>
      </c>
    </row>
    <row r="10" spans="1:3" x14ac:dyDescent="0.35">
      <c r="A10" s="48">
        <v>6</v>
      </c>
      <c r="B10" s="50" t="s">
        <v>27</v>
      </c>
    </row>
    <row r="11" spans="1:3" x14ac:dyDescent="0.35">
      <c r="A11" s="51"/>
      <c r="B11" s="23"/>
    </row>
    <row r="13" spans="1:3" x14ac:dyDescent="0.35">
      <c r="A13" s="10" t="s">
        <v>28</v>
      </c>
      <c r="B13" s="10" t="s">
        <v>21</v>
      </c>
    </row>
    <row r="14" spans="1:3" x14ac:dyDescent="0.35">
      <c r="A14" s="48">
        <v>1</v>
      </c>
      <c r="B14" s="49" t="s">
        <v>29</v>
      </c>
    </row>
    <row r="15" spans="1:3" x14ac:dyDescent="0.35">
      <c r="A15" s="48">
        <v>2</v>
      </c>
      <c r="B15" s="49" t="s">
        <v>30</v>
      </c>
    </row>
    <row r="16" spans="1:3" x14ac:dyDescent="0.35">
      <c r="A16" s="48">
        <v>3</v>
      </c>
      <c r="B16" s="49" t="s">
        <v>31</v>
      </c>
    </row>
    <row r="17" spans="1:2" x14ac:dyDescent="0.35">
      <c r="A17" s="51"/>
      <c r="B17" s="24"/>
    </row>
    <row r="18" spans="1:2" x14ac:dyDescent="0.35">
      <c r="A18" s="51"/>
      <c r="B18" s="24"/>
    </row>
    <row r="19" spans="1:2" x14ac:dyDescent="0.35">
      <c r="A19" s="10" t="s">
        <v>32</v>
      </c>
      <c r="B19" s="10" t="s">
        <v>21</v>
      </c>
    </row>
    <row r="20" spans="1:2" x14ac:dyDescent="0.35">
      <c r="A20" s="47">
        <v>1</v>
      </c>
      <c r="B20" s="34" t="s">
        <v>33</v>
      </c>
    </row>
    <row r="21" spans="1:2" x14ac:dyDescent="0.35">
      <c r="A21" s="47">
        <v>2</v>
      </c>
      <c r="B21" s="34" t="s">
        <v>34</v>
      </c>
    </row>
    <row r="22" spans="1:2" x14ac:dyDescent="0.35">
      <c r="A22" s="47">
        <v>3</v>
      </c>
      <c r="B22" s="34" t="s">
        <v>35</v>
      </c>
    </row>
    <row r="23" spans="1:2" x14ac:dyDescent="0.35">
      <c r="A23" s="47">
        <v>4</v>
      </c>
      <c r="B23" s="34" t="s">
        <v>36</v>
      </c>
    </row>
    <row r="24" spans="1:2" x14ac:dyDescent="0.35">
      <c r="A24" s="47">
        <v>5</v>
      </c>
      <c r="B24" s="34" t="s">
        <v>37</v>
      </c>
    </row>
    <row r="25" spans="1:2" x14ac:dyDescent="0.35">
      <c r="A25" s="47">
        <v>6</v>
      </c>
      <c r="B25" s="52" t="s">
        <v>38</v>
      </c>
    </row>
    <row r="26" spans="1:2" x14ac:dyDescent="0.35">
      <c r="A26" s="47">
        <v>7</v>
      </c>
      <c r="B26" s="34" t="s">
        <v>39</v>
      </c>
    </row>
    <row r="27" spans="1:2" x14ac:dyDescent="0.35">
      <c r="A27" s="47">
        <v>8</v>
      </c>
      <c r="B27" s="34" t="s">
        <v>40</v>
      </c>
    </row>
    <row r="28" spans="1:2" x14ac:dyDescent="0.35">
      <c r="A28" s="47">
        <v>9</v>
      </c>
      <c r="B28" s="34" t="s">
        <v>41</v>
      </c>
    </row>
    <row r="31" spans="1:2" x14ac:dyDescent="0.35">
      <c r="A31" s="10" t="s">
        <v>272</v>
      </c>
      <c r="B31" s="10" t="s">
        <v>21</v>
      </c>
    </row>
    <row r="32" spans="1:2" x14ac:dyDescent="0.35">
      <c r="A32" s="33">
        <v>100</v>
      </c>
      <c r="B32" s="103" t="s">
        <v>263</v>
      </c>
    </row>
    <row r="33" spans="1:2" x14ac:dyDescent="0.35">
      <c r="A33" s="53">
        <v>101</v>
      </c>
      <c r="B33" s="103" t="s">
        <v>247</v>
      </c>
    </row>
    <row r="34" spans="1:2" x14ac:dyDescent="0.35">
      <c r="A34" s="53">
        <v>102</v>
      </c>
      <c r="B34" s="103" t="s">
        <v>292</v>
      </c>
    </row>
    <row r="35" spans="1:2" x14ac:dyDescent="0.35">
      <c r="A35" s="53">
        <v>103</v>
      </c>
      <c r="B35" s="103" t="s">
        <v>248</v>
      </c>
    </row>
    <row r="36" spans="1:2" x14ac:dyDescent="0.35">
      <c r="A36" s="53">
        <v>104</v>
      </c>
      <c r="B36" s="103" t="s">
        <v>249</v>
      </c>
    </row>
    <row r="37" spans="1:2" x14ac:dyDescent="0.35">
      <c r="A37" s="53">
        <v>105</v>
      </c>
      <c r="B37" s="103" t="s">
        <v>293</v>
      </c>
    </row>
    <row r="38" spans="1:2" x14ac:dyDescent="0.35">
      <c r="A38" s="53">
        <v>106</v>
      </c>
      <c r="B38" s="103" t="s">
        <v>250</v>
      </c>
    </row>
    <row r="39" spans="1:2" x14ac:dyDescent="0.35">
      <c r="A39" s="53">
        <v>107</v>
      </c>
      <c r="B39" s="103" t="s">
        <v>251</v>
      </c>
    </row>
    <row r="40" spans="1:2" x14ac:dyDescent="0.35">
      <c r="A40" s="53">
        <v>108</v>
      </c>
      <c r="B40" s="103" t="s">
        <v>252</v>
      </c>
    </row>
    <row r="41" spans="1:2" x14ac:dyDescent="0.35">
      <c r="A41" s="53">
        <v>109</v>
      </c>
      <c r="B41" s="103" t="s">
        <v>253</v>
      </c>
    </row>
    <row r="42" spans="1:2" x14ac:dyDescent="0.35">
      <c r="A42" s="53">
        <v>110</v>
      </c>
      <c r="B42" s="103" t="s">
        <v>294</v>
      </c>
    </row>
    <row r="43" spans="1:2" x14ac:dyDescent="0.35">
      <c r="A43" s="53">
        <v>111</v>
      </c>
      <c r="B43" s="103" t="s">
        <v>254</v>
      </c>
    </row>
    <row r="44" spans="1:2" x14ac:dyDescent="0.35">
      <c r="A44" s="53">
        <v>999</v>
      </c>
      <c r="B44" s="103" t="s">
        <v>295</v>
      </c>
    </row>
    <row r="47" spans="1:2" x14ac:dyDescent="0.35">
      <c r="A47" s="10" t="s">
        <v>43</v>
      </c>
      <c r="B47" s="10" t="s">
        <v>21</v>
      </c>
    </row>
    <row r="48" spans="1:2" x14ac:dyDescent="0.35">
      <c r="A48" s="47">
        <v>201</v>
      </c>
      <c r="B48" s="105" t="s">
        <v>255</v>
      </c>
    </row>
    <row r="49" spans="1:2" x14ac:dyDescent="0.35">
      <c r="A49" s="47">
        <v>202</v>
      </c>
      <c r="B49" s="105" t="s">
        <v>256</v>
      </c>
    </row>
    <row r="50" spans="1:2" x14ac:dyDescent="0.35">
      <c r="A50" s="47">
        <v>203</v>
      </c>
      <c r="B50" s="105" t="s">
        <v>260</v>
      </c>
    </row>
    <row r="51" spans="1:2" x14ac:dyDescent="0.35">
      <c r="A51" s="53">
        <v>204</v>
      </c>
      <c r="B51" s="103" t="s">
        <v>257</v>
      </c>
    </row>
    <row r="52" spans="1:2" x14ac:dyDescent="0.35">
      <c r="A52" s="53">
        <v>205</v>
      </c>
      <c r="B52" s="106" t="s">
        <v>258</v>
      </c>
    </row>
    <row r="53" spans="1:2" x14ac:dyDescent="0.35">
      <c r="A53" s="53">
        <v>206</v>
      </c>
      <c r="B53" s="106" t="s">
        <v>261</v>
      </c>
    </row>
    <row r="54" spans="1:2" x14ac:dyDescent="0.35">
      <c r="A54" s="53">
        <v>207</v>
      </c>
      <c r="B54" s="106" t="s">
        <v>259</v>
      </c>
    </row>
    <row r="55" spans="1:2" x14ac:dyDescent="0.35">
      <c r="A55" s="104">
        <v>208</v>
      </c>
      <c r="B55" s="105" t="s">
        <v>262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FEBD3-82DF-426A-9AE9-D073E586CBBA}">
  <dimension ref="A1:G15"/>
  <sheetViews>
    <sheetView zoomScale="130" zoomScaleNormal="130" workbookViewId="0">
      <selection activeCell="B1" sqref="B1"/>
    </sheetView>
  </sheetViews>
  <sheetFormatPr defaultRowHeight="14.5" x14ac:dyDescent="0.35"/>
  <cols>
    <col min="1" max="1" width="3.453125" customWidth="1"/>
    <col min="2" max="2" width="12.1796875" customWidth="1"/>
    <col min="3" max="3" width="56.453125" customWidth="1"/>
    <col min="4" max="6" width="25.7265625" customWidth="1"/>
  </cols>
  <sheetData>
    <row r="1" spans="1:7" ht="18.5" x14ac:dyDescent="0.35">
      <c r="A1" s="13" t="s">
        <v>6</v>
      </c>
      <c r="B1" s="13"/>
    </row>
    <row r="2" spans="1:7" x14ac:dyDescent="0.35">
      <c r="B2" s="14"/>
    </row>
    <row r="4" spans="1:7" x14ac:dyDescent="0.35">
      <c r="A4" s="38" t="s">
        <v>44</v>
      </c>
      <c r="B4" s="38"/>
      <c r="C4" s="38"/>
      <c r="D4" s="15"/>
      <c r="G4" s="1"/>
    </row>
    <row r="5" spans="1:7" ht="5.15" customHeight="1" x14ac:dyDescent="0.35">
      <c r="A5" s="38"/>
      <c r="B5" s="38"/>
      <c r="C5" s="38"/>
      <c r="D5" s="15"/>
      <c r="G5" s="1"/>
    </row>
    <row r="6" spans="1:7" x14ac:dyDescent="0.35">
      <c r="A6" s="183" t="s">
        <v>45</v>
      </c>
      <c r="B6" s="184"/>
      <c r="C6" s="17"/>
      <c r="D6" s="14" t="s">
        <v>46</v>
      </c>
      <c r="G6" s="1"/>
    </row>
    <row r="7" spans="1:7" x14ac:dyDescent="0.35">
      <c r="A7" s="183" t="s">
        <v>47</v>
      </c>
      <c r="B7" s="184"/>
      <c r="C7" s="17"/>
      <c r="D7" s="14" t="s">
        <v>46</v>
      </c>
      <c r="G7" s="1"/>
    </row>
    <row r="8" spans="1:7" x14ac:dyDescent="0.35">
      <c r="A8" s="183" t="s">
        <v>48</v>
      </c>
      <c r="B8" s="184"/>
      <c r="C8" s="17"/>
      <c r="D8" s="14" t="s">
        <v>46</v>
      </c>
    </row>
    <row r="9" spans="1:7" x14ac:dyDescent="0.35">
      <c r="B9" s="16"/>
      <c r="C9" s="40"/>
      <c r="D9" s="14"/>
    </row>
    <row r="10" spans="1:7" x14ac:dyDescent="0.35">
      <c r="A10" s="39" t="s">
        <v>49</v>
      </c>
      <c r="B10" s="39"/>
      <c r="C10" s="23"/>
      <c r="D10" s="14"/>
    </row>
    <row r="11" spans="1:7" ht="5.15" customHeight="1" x14ac:dyDescent="0.35">
      <c r="A11" s="39"/>
      <c r="B11" s="39"/>
      <c r="C11" s="23"/>
      <c r="D11" s="14"/>
    </row>
    <row r="12" spans="1:7" ht="45" customHeight="1" x14ac:dyDescent="0.35">
      <c r="B12" s="185" t="s">
        <v>297</v>
      </c>
      <c r="C12" s="185"/>
      <c r="D12" s="14"/>
    </row>
    <row r="13" spans="1:7" ht="30" customHeight="1" x14ac:dyDescent="0.35">
      <c r="A13" s="183" t="s">
        <v>50</v>
      </c>
      <c r="B13" s="184"/>
      <c r="C13" s="17"/>
      <c r="D13" s="14" t="s">
        <v>46</v>
      </c>
    </row>
    <row r="14" spans="1:7" x14ac:dyDescent="0.35">
      <c r="A14" s="183" t="s">
        <v>51</v>
      </c>
      <c r="B14" s="184"/>
      <c r="C14" s="17"/>
      <c r="D14" s="14" t="s">
        <v>46</v>
      </c>
    </row>
    <row r="15" spans="1:7" x14ac:dyDescent="0.35">
      <c r="B15" s="16"/>
      <c r="C15" s="36"/>
      <c r="D15" s="14"/>
    </row>
  </sheetData>
  <mergeCells count="6">
    <mergeCell ref="A14:B14"/>
    <mergeCell ref="B12:C12"/>
    <mergeCell ref="A6:B6"/>
    <mergeCell ref="A7:B7"/>
    <mergeCell ref="A8:B8"/>
    <mergeCell ref="A13:B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DFCAC-667E-4878-8DC0-2F586C2BDEC0}">
  <dimension ref="A1:AC59"/>
  <sheetViews>
    <sheetView zoomScale="120" zoomScaleNormal="120" workbookViewId="0">
      <selection activeCell="E11" sqref="E11"/>
    </sheetView>
  </sheetViews>
  <sheetFormatPr defaultColWidth="9.1796875" defaultRowHeight="14.5" x14ac:dyDescent="0.35"/>
  <cols>
    <col min="1" max="2" width="20.7265625" customWidth="1"/>
    <col min="3" max="3" width="23.7265625" customWidth="1"/>
    <col min="4" max="4" width="25" customWidth="1"/>
    <col min="5" max="5" width="20.7265625" customWidth="1"/>
    <col min="6" max="6" width="24" customWidth="1"/>
    <col min="7" max="7" width="25.54296875" customWidth="1"/>
    <col min="8" max="10" width="20.7265625" customWidth="1"/>
    <col min="11" max="11" width="22.26953125" customWidth="1"/>
    <col min="12" max="12" width="23.7265625" customWidth="1"/>
    <col min="13" max="13" width="20.7265625" customWidth="1"/>
    <col min="14" max="14" width="27.7265625" customWidth="1"/>
    <col min="15" max="15" width="20.7265625" customWidth="1"/>
    <col min="16" max="16" width="49.54296875" customWidth="1"/>
    <col min="17" max="20" width="20.7265625" customWidth="1"/>
    <col min="21" max="21" width="25" customWidth="1"/>
    <col min="22" max="22" width="37.26953125" customWidth="1"/>
    <col min="23" max="23" width="20.7265625" customWidth="1"/>
    <col min="24" max="24" width="24.81640625" customWidth="1"/>
    <col min="25" max="25" width="20.7265625" customWidth="1"/>
    <col min="26" max="26" width="25" customWidth="1"/>
    <col min="27" max="27" width="23.7265625" customWidth="1"/>
    <col min="28" max="28" width="20.7265625" customWidth="1"/>
    <col min="29" max="29" width="21" customWidth="1"/>
  </cols>
  <sheetData>
    <row r="1" spans="1:29" ht="18.5" x14ac:dyDescent="0.35">
      <c r="A1" s="13" t="s">
        <v>52</v>
      </c>
      <c r="B1" s="1"/>
      <c r="C1" s="1"/>
      <c r="D1" s="1"/>
    </row>
    <row r="2" spans="1:29" ht="15" customHeight="1" x14ac:dyDescent="0.35">
      <c r="A2" s="13"/>
      <c r="B2" s="1"/>
      <c r="C2" s="1"/>
      <c r="D2" s="1"/>
    </row>
    <row r="3" spans="1:29" x14ac:dyDescent="0.35">
      <c r="A3" s="22"/>
      <c r="B3" s="1"/>
      <c r="C3" s="1"/>
      <c r="D3" s="1"/>
    </row>
    <row r="4" spans="1:29" x14ac:dyDescent="0.35">
      <c r="A4" s="23" t="s">
        <v>53</v>
      </c>
      <c r="B4" s="1"/>
      <c r="C4" s="1"/>
      <c r="D4" s="1"/>
    </row>
    <row r="5" spans="1:29" x14ac:dyDescent="0.35">
      <c r="A5" s="107" t="s">
        <v>298</v>
      </c>
      <c r="B5" s="1"/>
      <c r="C5" s="1"/>
      <c r="D5" s="1"/>
    </row>
    <row r="6" spans="1:29" x14ac:dyDescent="0.35">
      <c r="A6" s="24" t="s">
        <v>54</v>
      </c>
      <c r="B6" s="1"/>
      <c r="C6" s="1"/>
      <c r="D6" s="1"/>
    </row>
    <row r="7" spans="1:29" x14ac:dyDescent="0.35">
      <c r="A7" s="25"/>
      <c r="B7" s="1"/>
      <c r="C7" s="1"/>
      <c r="D7" s="1"/>
    </row>
    <row r="8" spans="1:29" x14ac:dyDescent="0.35">
      <c r="A8" s="26" t="s">
        <v>55</v>
      </c>
      <c r="B8" s="26" t="s">
        <v>56</v>
      </c>
      <c r="C8" s="26" t="s">
        <v>57</v>
      </c>
      <c r="D8" s="26" t="s">
        <v>58</v>
      </c>
      <c r="E8" s="26" t="s">
        <v>59</v>
      </c>
      <c r="F8" s="26" t="s">
        <v>60</v>
      </c>
      <c r="G8" s="26" t="s">
        <v>61</v>
      </c>
      <c r="H8" s="26" t="s">
        <v>62</v>
      </c>
      <c r="I8" s="26" t="s">
        <v>63</v>
      </c>
      <c r="J8" s="26" t="s">
        <v>64</v>
      </c>
      <c r="K8" s="26" t="s">
        <v>65</v>
      </c>
      <c r="L8" s="26" t="s">
        <v>66</v>
      </c>
      <c r="M8" s="26" t="s">
        <v>67</v>
      </c>
      <c r="N8" s="26" t="s">
        <v>68</v>
      </c>
      <c r="O8" s="26" t="s">
        <v>69</v>
      </c>
      <c r="P8" s="26" t="s">
        <v>70</v>
      </c>
      <c r="Q8" s="26" t="s">
        <v>71</v>
      </c>
      <c r="R8" s="26" t="s">
        <v>72</v>
      </c>
      <c r="S8" s="26" t="s">
        <v>73</v>
      </c>
      <c r="T8" s="26" t="s">
        <v>74</v>
      </c>
      <c r="U8" s="26" t="s">
        <v>75</v>
      </c>
      <c r="V8" s="26" t="s">
        <v>76</v>
      </c>
      <c r="W8" s="26" t="s">
        <v>77</v>
      </c>
      <c r="X8" s="26" t="s">
        <v>78</v>
      </c>
      <c r="Y8" s="26" t="s">
        <v>79</v>
      </c>
      <c r="Z8" s="26" t="s">
        <v>80</v>
      </c>
      <c r="AA8" s="26" t="s">
        <v>81</v>
      </c>
      <c r="AB8" s="26" t="s">
        <v>82</v>
      </c>
      <c r="AC8" s="26" t="s">
        <v>264</v>
      </c>
    </row>
    <row r="9" spans="1:29" x14ac:dyDescent="0.35">
      <c r="A9" s="26" t="s">
        <v>83</v>
      </c>
      <c r="B9" s="26" t="s">
        <v>84</v>
      </c>
      <c r="C9" s="26" t="s">
        <v>83</v>
      </c>
      <c r="D9" s="26" t="s">
        <v>83</v>
      </c>
      <c r="E9" s="27" t="s">
        <v>85</v>
      </c>
      <c r="F9" s="27" t="s">
        <v>86</v>
      </c>
      <c r="G9" s="27" t="s">
        <v>86</v>
      </c>
      <c r="H9" s="27" t="s">
        <v>86</v>
      </c>
      <c r="I9" s="27" t="s">
        <v>86</v>
      </c>
      <c r="J9" s="27" t="s">
        <v>86</v>
      </c>
      <c r="K9" s="27" t="s">
        <v>86</v>
      </c>
      <c r="L9" s="27" t="s">
        <v>86</v>
      </c>
      <c r="M9" s="27" t="s">
        <v>86</v>
      </c>
      <c r="N9" s="27" t="s">
        <v>86</v>
      </c>
      <c r="O9" s="27" t="s">
        <v>87</v>
      </c>
      <c r="P9" s="27" t="s">
        <v>86</v>
      </c>
      <c r="Q9" s="27" t="s">
        <v>86</v>
      </c>
      <c r="R9" s="27" t="s">
        <v>88</v>
      </c>
      <c r="S9" s="27" t="s">
        <v>86</v>
      </c>
      <c r="T9" s="27" t="s">
        <v>86</v>
      </c>
      <c r="U9" s="27" t="s">
        <v>86</v>
      </c>
      <c r="V9" s="27" t="s">
        <v>85</v>
      </c>
      <c r="W9" s="27"/>
      <c r="X9" s="27"/>
      <c r="Y9" s="27"/>
      <c r="Z9" s="27"/>
      <c r="AA9" s="27"/>
      <c r="AB9" s="27"/>
      <c r="AC9" s="27"/>
    </row>
    <row r="10" spans="1:29" ht="58" x14ac:dyDescent="0.35">
      <c r="A10" s="46" t="s">
        <v>43</v>
      </c>
      <c r="B10" s="45" t="s">
        <v>89</v>
      </c>
      <c r="C10" s="45" t="s">
        <v>20</v>
      </c>
      <c r="D10" s="45" t="s">
        <v>272</v>
      </c>
      <c r="E10" s="54" t="s">
        <v>90</v>
      </c>
      <c r="F10" s="45" t="s">
        <v>91</v>
      </c>
      <c r="G10" s="45" t="s">
        <v>92</v>
      </c>
      <c r="H10" s="45" t="s">
        <v>93</v>
      </c>
      <c r="I10" s="45" t="s">
        <v>94</v>
      </c>
      <c r="J10" s="45" t="s">
        <v>95</v>
      </c>
      <c r="K10" s="45" t="s">
        <v>96</v>
      </c>
      <c r="L10" s="45" t="s">
        <v>97</v>
      </c>
      <c r="M10" s="45" t="s">
        <v>98</v>
      </c>
      <c r="N10" s="45" t="s">
        <v>99</v>
      </c>
      <c r="O10" s="45" t="s">
        <v>100</v>
      </c>
      <c r="P10" s="45" t="s">
        <v>101</v>
      </c>
      <c r="Q10" s="45" t="s">
        <v>102</v>
      </c>
      <c r="R10" s="45" t="s">
        <v>103</v>
      </c>
      <c r="S10" s="45" t="s">
        <v>104</v>
      </c>
      <c r="T10" s="45" t="s">
        <v>265</v>
      </c>
      <c r="U10" s="45" t="s">
        <v>305</v>
      </c>
      <c r="V10" s="45" t="s">
        <v>105</v>
      </c>
      <c r="W10" s="55" t="s">
        <v>106</v>
      </c>
      <c r="X10" s="55" t="s">
        <v>107</v>
      </c>
      <c r="Y10" s="55" t="s">
        <v>108</v>
      </c>
      <c r="Z10" s="55" t="s">
        <v>109</v>
      </c>
      <c r="AA10" s="55" t="s">
        <v>110</v>
      </c>
      <c r="AB10" s="55" t="s">
        <v>111</v>
      </c>
      <c r="AC10" s="56" t="s">
        <v>112</v>
      </c>
    </row>
    <row r="11" spans="1:29" x14ac:dyDescent="0.35">
      <c r="A11" s="43"/>
      <c r="B11" s="20"/>
      <c r="C11" s="124"/>
      <c r="D11" s="43"/>
      <c r="E11" s="125"/>
      <c r="F11" s="126"/>
      <c r="G11" s="126"/>
      <c r="H11" s="178"/>
      <c r="I11" s="126"/>
      <c r="J11" s="126"/>
      <c r="K11" s="126"/>
      <c r="L11" s="126"/>
      <c r="M11" s="126"/>
      <c r="N11" s="126"/>
      <c r="O11" s="126"/>
      <c r="P11" s="30"/>
      <c r="Q11" s="30"/>
      <c r="R11" s="30"/>
      <c r="S11" s="30"/>
      <c r="T11" s="30"/>
      <c r="U11" s="30"/>
      <c r="V11" s="30"/>
      <c r="W11" s="31">
        <f t="shared" ref="W11:W28" si="0">SUM(F11:M11)</f>
        <v>0</v>
      </c>
      <c r="X11" s="31">
        <f>SUM(N11:S11)</f>
        <v>0</v>
      </c>
      <c r="Y11" s="31">
        <f>W11+X11</f>
        <v>0</v>
      </c>
      <c r="Z11" s="31">
        <f>W11-U11</f>
        <v>0</v>
      </c>
      <c r="AA11" s="31">
        <f>Z11+X11</f>
        <v>0</v>
      </c>
      <c r="AB11" s="74" t="e">
        <f t="shared" ref="AB11:AB28" si="1">Y11/E11</f>
        <v>#DIV/0!</v>
      </c>
      <c r="AC11" s="74" t="e">
        <f>AA11/E11</f>
        <v>#DIV/0!</v>
      </c>
    </row>
    <row r="12" spans="1:29" x14ac:dyDescent="0.35">
      <c r="A12" s="43"/>
      <c r="B12" s="20"/>
      <c r="C12" s="124"/>
      <c r="D12" s="43"/>
      <c r="E12" s="125"/>
      <c r="F12" s="126"/>
      <c r="G12" s="126"/>
      <c r="H12" s="126"/>
      <c r="I12" s="126"/>
      <c r="J12" s="126"/>
      <c r="K12" s="126"/>
      <c r="L12" s="126"/>
      <c r="M12" s="126"/>
      <c r="N12" s="126"/>
      <c r="O12" s="126"/>
      <c r="P12" s="30"/>
      <c r="Q12" s="30"/>
      <c r="R12" s="30"/>
      <c r="S12" s="30"/>
      <c r="T12" s="30"/>
      <c r="U12" s="30"/>
      <c r="V12" s="30"/>
      <c r="W12" s="31">
        <f t="shared" si="0"/>
        <v>0</v>
      </c>
      <c r="X12" s="31">
        <f t="shared" ref="X12:X28" si="2">SUM(N12:S12)</f>
        <v>0</v>
      </c>
      <c r="Y12" s="31">
        <f t="shared" ref="Y12:Y28" si="3">W12+X12</f>
        <v>0</v>
      </c>
      <c r="Z12" s="31">
        <f t="shared" ref="Z12:Z28" si="4">W12-U12</f>
        <v>0</v>
      </c>
      <c r="AA12" s="31">
        <f t="shared" ref="AA12:AA28" si="5">Z12+X12</f>
        <v>0</v>
      </c>
      <c r="AB12" s="74" t="e">
        <f t="shared" si="1"/>
        <v>#DIV/0!</v>
      </c>
      <c r="AC12" s="74" t="e">
        <f t="shared" ref="AC12:AC28" si="6">AA12/E12</f>
        <v>#DIV/0!</v>
      </c>
    </row>
    <row r="13" spans="1:29" x14ac:dyDescent="0.35">
      <c r="A13" s="43"/>
      <c r="B13" s="20"/>
      <c r="C13" s="124"/>
      <c r="D13" s="43"/>
      <c r="E13" s="125"/>
      <c r="F13" s="126"/>
      <c r="G13" s="126"/>
      <c r="H13" s="126"/>
      <c r="I13" s="126"/>
      <c r="J13" s="126"/>
      <c r="K13" s="126"/>
      <c r="L13" s="126"/>
      <c r="M13" s="126"/>
      <c r="N13" s="126"/>
      <c r="O13" s="126"/>
      <c r="P13" s="30"/>
      <c r="Q13" s="30"/>
      <c r="R13" s="30"/>
      <c r="S13" s="30"/>
      <c r="T13" s="30"/>
      <c r="U13" s="30"/>
      <c r="V13" s="30"/>
      <c r="W13" s="31">
        <f t="shared" si="0"/>
        <v>0</v>
      </c>
      <c r="X13" s="31">
        <f t="shared" si="2"/>
        <v>0</v>
      </c>
      <c r="Y13" s="31">
        <f t="shared" si="3"/>
        <v>0</v>
      </c>
      <c r="Z13" s="31">
        <f t="shared" si="4"/>
        <v>0</v>
      </c>
      <c r="AA13" s="31">
        <f t="shared" si="5"/>
        <v>0</v>
      </c>
      <c r="AB13" s="74" t="e">
        <f t="shared" si="1"/>
        <v>#DIV/0!</v>
      </c>
      <c r="AC13" s="74" t="e">
        <f t="shared" si="6"/>
        <v>#DIV/0!</v>
      </c>
    </row>
    <row r="14" spans="1:29" x14ac:dyDescent="0.35">
      <c r="A14" s="43"/>
      <c r="B14" s="20"/>
      <c r="C14" s="124"/>
      <c r="D14" s="43"/>
      <c r="E14" s="125"/>
      <c r="F14" s="126"/>
      <c r="G14" s="126"/>
      <c r="H14" s="126"/>
      <c r="I14" s="126"/>
      <c r="J14" s="126"/>
      <c r="K14" s="126"/>
      <c r="L14" s="126"/>
      <c r="M14" s="126"/>
      <c r="N14" s="126"/>
      <c r="O14" s="126"/>
      <c r="P14" s="30"/>
      <c r="Q14" s="30"/>
      <c r="R14" s="30"/>
      <c r="S14" s="30"/>
      <c r="T14" s="30"/>
      <c r="U14" s="30"/>
      <c r="V14" s="30"/>
      <c r="W14" s="31">
        <f t="shared" si="0"/>
        <v>0</v>
      </c>
      <c r="X14" s="31">
        <f t="shared" si="2"/>
        <v>0</v>
      </c>
      <c r="Y14" s="31">
        <f t="shared" si="3"/>
        <v>0</v>
      </c>
      <c r="Z14" s="31">
        <f t="shared" si="4"/>
        <v>0</v>
      </c>
      <c r="AA14" s="31">
        <f t="shared" si="5"/>
        <v>0</v>
      </c>
      <c r="AB14" s="74" t="e">
        <f t="shared" si="1"/>
        <v>#DIV/0!</v>
      </c>
      <c r="AC14" s="74" t="e">
        <f t="shared" si="6"/>
        <v>#DIV/0!</v>
      </c>
    </row>
    <row r="15" spans="1:29" x14ac:dyDescent="0.35">
      <c r="A15" s="43"/>
      <c r="B15" s="20"/>
      <c r="C15" s="124"/>
      <c r="D15" s="43"/>
      <c r="E15" s="125"/>
      <c r="F15" s="126"/>
      <c r="G15" s="126"/>
      <c r="H15" s="126"/>
      <c r="I15" s="126"/>
      <c r="J15" s="126"/>
      <c r="K15" s="126"/>
      <c r="L15" s="126"/>
      <c r="M15" s="126"/>
      <c r="N15" s="126"/>
      <c r="O15" s="126"/>
      <c r="P15" s="30"/>
      <c r="Q15" s="30"/>
      <c r="R15" s="30"/>
      <c r="S15" s="30"/>
      <c r="T15" s="30"/>
      <c r="U15" s="30"/>
      <c r="V15" s="30"/>
      <c r="W15" s="31">
        <f t="shared" si="0"/>
        <v>0</v>
      </c>
      <c r="X15" s="31">
        <f t="shared" si="2"/>
        <v>0</v>
      </c>
      <c r="Y15" s="31">
        <f t="shared" si="3"/>
        <v>0</v>
      </c>
      <c r="Z15" s="31">
        <f t="shared" si="4"/>
        <v>0</v>
      </c>
      <c r="AA15" s="31">
        <f t="shared" si="5"/>
        <v>0</v>
      </c>
      <c r="AB15" s="74" t="e">
        <f t="shared" si="1"/>
        <v>#DIV/0!</v>
      </c>
      <c r="AC15" s="74" t="e">
        <f t="shared" si="6"/>
        <v>#DIV/0!</v>
      </c>
    </row>
    <row r="16" spans="1:29" x14ac:dyDescent="0.35">
      <c r="A16" s="43"/>
      <c r="B16" s="20"/>
      <c r="C16" s="124"/>
      <c r="D16" s="43"/>
      <c r="E16" s="125"/>
      <c r="F16" s="126"/>
      <c r="G16" s="126"/>
      <c r="H16" s="126"/>
      <c r="I16" s="126"/>
      <c r="J16" s="126"/>
      <c r="K16" s="126"/>
      <c r="L16" s="126"/>
      <c r="M16" s="126"/>
      <c r="N16" s="126"/>
      <c r="O16" s="126"/>
      <c r="P16" s="30"/>
      <c r="Q16" s="30"/>
      <c r="R16" s="30"/>
      <c r="S16" s="30"/>
      <c r="T16" s="30"/>
      <c r="U16" s="30"/>
      <c r="V16" s="30"/>
      <c r="W16" s="31">
        <f t="shared" si="0"/>
        <v>0</v>
      </c>
      <c r="X16" s="31">
        <f t="shared" si="2"/>
        <v>0</v>
      </c>
      <c r="Y16" s="31">
        <f t="shared" si="3"/>
        <v>0</v>
      </c>
      <c r="Z16" s="31">
        <f t="shared" si="4"/>
        <v>0</v>
      </c>
      <c r="AA16" s="31">
        <f t="shared" si="5"/>
        <v>0</v>
      </c>
      <c r="AB16" s="74" t="e">
        <f t="shared" si="1"/>
        <v>#DIV/0!</v>
      </c>
      <c r="AC16" s="74" t="e">
        <f t="shared" si="6"/>
        <v>#DIV/0!</v>
      </c>
    </row>
    <row r="17" spans="1:29" x14ac:dyDescent="0.35">
      <c r="A17" s="43"/>
      <c r="B17" s="20"/>
      <c r="C17" s="124"/>
      <c r="D17" s="43"/>
      <c r="E17" s="125"/>
      <c r="F17" s="126"/>
      <c r="G17" s="126"/>
      <c r="H17" s="126"/>
      <c r="I17" s="126"/>
      <c r="J17" s="126"/>
      <c r="K17" s="126"/>
      <c r="L17" s="126"/>
      <c r="M17" s="126"/>
      <c r="N17" s="126"/>
      <c r="O17" s="126"/>
      <c r="P17" s="30"/>
      <c r="Q17" s="30"/>
      <c r="R17" s="30"/>
      <c r="S17" s="30"/>
      <c r="T17" s="30"/>
      <c r="U17" s="30"/>
      <c r="V17" s="30"/>
      <c r="W17" s="31">
        <f t="shared" si="0"/>
        <v>0</v>
      </c>
      <c r="X17" s="31">
        <f t="shared" si="2"/>
        <v>0</v>
      </c>
      <c r="Y17" s="31">
        <f t="shared" si="3"/>
        <v>0</v>
      </c>
      <c r="Z17" s="31">
        <f t="shared" si="4"/>
        <v>0</v>
      </c>
      <c r="AA17" s="31">
        <f t="shared" si="5"/>
        <v>0</v>
      </c>
      <c r="AB17" s="74" t="e">
        <f t="shared" si="1"/>
        <v>#DIV/0!</v>
      </c>
      <c r="AC17" s="74" t="e">
        <f t="shared" si="6"/>
        <v>#DIV/0!</v>
      </c>
    </row>
    <row r="18" spans="1:29" x14ac:dyDescent="0.35">
      <c r="A18" s="43"/>
      <c r="B18" s="20"/>
      <c r="C18" s="124"/>
      <c r="D18" s="43"/>
      <c r="E18" s="125"/>
      <c r="F18" s="126"/>
      <c r="G18" s="126"/>
      <c r="H18" s="126"/>
      <c r="I18" s="126"/>
      <c r="J18" s="126"/>
      <c r="K18" s="126"/>
      <c r="L18" s="126"/>
      <c r="M18" s="126"/>
      <c r="N18" s="126"/>
      <c r="O18" s="126"/>
      <c r="P18" s="30"/>
      <c r="Q18" s="30"/>
      <c r="R18" s="30"/>
      <c r="S18" s="30"/>
      <c r="T18" s="30"/>
      <c r="U18" s="30"/>
      <c r="V18" s="30"/>
      <c r="W18" s="31">
        <f t="shared" si="0"/>
        <v>0</v>
      </c>
      <c r="X18" s="31">
        <f t="shared" si="2"/>
        <v>0</v>
      </c>
      <c r="Y18" s="31">
        <f t="shared" si="3"/>
        <v>0</v>
      </c>
      <c r="Z18" s="31">
        <f t="shared" si="4"/>
        <v>0</v>
      </c>
      <c r="AA18" s="31">
        <f t="shared" si="5"/>
        <v>0</v>
      </c>
      <c r="AB18" s="74" t="e">
        <f t="shared" si="1"/>
        <v>#DIV/0!</v>
      </c>
      <c r="AC18" s="74" t="e">
        <f t="shared" si="6"/>
        <v>#DIV/0!</v>
      </c>
    </row>
    <row r="19" spans="1:29" x14ac:dyDescent="0.35">
      <c r="A19" s="43"/>
      <c r="B19" s="20"/>
      <c r="C19" s="124"/>
      <c r="D19" s="43"/>
      <c r="E19" s="125"/>
      <c r="F19" s="126"/>
      <c r="G19" s="126"/>
      <c r="H19" s="126"/>
      <c r="I19" s="126"/>
      <c r="J19" s="126"/>
      <c r="K19" s="126"/>
      <c r="L19" s="126"/>
      <c r="M19" s="126"/>
      <c r="N19" s="126"/>
      <c r="O19" s="126"/>
      <c r="P19" s="30"/>
      <c r="Q19" s="30"/>
      <c r="R19" s="30"/>
      <c r="S19" s="30"/>
      <c r="T19" s="30"/>
      <c r="U19" s="30"/>
      <c r="V19" s="30"/>
      <c r="W19" s="31">
        <f t="shared" si="0"/>
        <v>0</v>
      </c>
      <c r="X19" s="31">
        <f t="shared" si="2"/>
        <v>0</v>
      </c>
      <c r="Y19" s="31">
        <f t="shared" si="3"/>
        <v>0</v>
      </c>
      <c r="Z19" s="31">
        <f t="shared" si="4"/>
        <v>0</v>
      </c>
      <c r="AA19" s="31">
        <f t="shared" si="5"/>
        <v>0</v>
      </c>
      <c r="AB19" s="74" t="e">
        <f t="shared" si="1"/>
        <v>#DIV/0!</v>
      </c>
      <c r="AC19" s="74" t="e">
        <f t="shared" si="6"/>
        <v>#DIV/0!</v>
      </c>
    </row>
    <row r="20" spans="1:29" x14ac:dyDescent="0.35">
      <c r="A20" s="43"/>
      <c r="B20" s="20"/>
      <c r="C20" s="124"/>
      <c r="D20" s="43"/>
      <c r="E20" s="125"/>
      <c r="F20" s="126"/>
      <c r="G20" s="126"/>
      <c r="H20" s="126"/>
      <c r="I20" s="126"/>
      <c r="J20" s="126"/>
      <c r="K20" s="126"/>
      <c r="L20" s="126"/>
      <c r="M20" s="126"/>
      <c r="N20" s="126"/>
      <c r="O20" s="126"/>
      <c r="P20" s="30"/>
      <c r="Q20" s="30"/>
      <c r="R20" s="30"/>
      <c r="S20" s="30"/>
      <c r="T20" s="30"/>
      <c r="U20" s="30"/>
      <c r="V20" s="30"/>
      <c r="W20" s="31">
        <f t="shared" si="0"/>
        <v>0</v>
      </c>
      <c r="X20" s="31">
        <f t="shared" si="2"/>
        <v>0</v>
      </c>
      <c r="Y20" s="31">
        <f t="shared" si="3"/>
        <v>0</v>
      </c>
      <c r="Z20" s="31">
        <f t="shared" si="4"/>
        <v>0</v>
      </c>
      <c r="AA20" s="31">
        <f t="shared" si="5"/>
        <v>0</v>
      </c>
      <c r="AB20" s="74" t="e">
        <f t="shared" si="1"/>
        <v>#DIV/0!</v>
      </c>
      <c r="AC20" s="74" t="e">
        <f t="shared" si="6"/>
        <v>#DIV/0!</v>
      </c>
    </row>
    <row r="21" spans="1:29" x14ac:dyDescent="0.35">
      <c r="A21" s="43"/>
      <c r="B21" s="20"/>
      <c r="C21" s="124"/>
      <c r="D21" s="43"/>
      <c r="E21" s="125"/>
      <c r="F21" s="126"/>
      <c r="G21" s="126"/>
      <c r="H21" s="126"/>
      <c r="I21" s="126"/>
      <c r="J21" s="126"/>
      <c r="K21" s="126"/>
      <c r="L21" s="126"/>
      <c r="M21" s="126"/>
      <c r="N21" s="126"/>
      <c r="O21" s="126"/>
      <c r="P21" s="30"/>
      <c r="Q21" s="30"/>
      <c r="R21" s="30"/>
      <c r="S21" s="30"/>
      <c r="T21" s="30"/>
      <c r="U21" s="30"/>
      <c r="V21" s="30"/>
      <c r="W21" s="31">
        <f t="shared" si="0"/>
        <v>0</v>
      </c>
      <c r="X21" s="31">
        <f t="shared" si="2"/>
        <v>0</v>
      </c>
      <c r="Y21" s="31">
        <f t="shared" si="3"/>
        <v>0</v>
      </c>
      <c r="Z21" s="31">
        <f t="shared" si="4"/>
        <v>0</v>
      </c>
      <c r="AA21" s="31">
        <f t="shared" si="5"/>
        <v>0</v>
      </c>
      <c r="AB21" s="74" t="e">
        <f t="shared" si="1"/>
        <v>#DIV/0!</v>
      </c>
      <c r="AC21" s="74" t="e">
        <f t="shared" si="6"/>
        <v>#DIV/0!</v>
      </c>
    </row>
    <row r="22" spans="1:29" x14ac:dyDescent="0.35">
      <c r="A22" s="43"/>
      <c r="B22" s="20"/>
      <c r="C22" s="124"/>
      <c r="D22" s="43"/>
      <c r="E22" s="125"/>
      <c r="F22" s="126"/>
      <c r="G22" s="126"/>
      <c r="H22" s="126"/>
      <c r="I22" s="126"/>
      <c r="J22" s="126"/>
      <c r="K22" s="126"/>
      <c r="L22" s="126"/>
      <c r="M22" s="126"/>
      <c r="N22" s="126"/>
      <c r="O22" s="126"/>
      <c r="P22" s="30"/>
      <c r="Q22" s="30"/>
      <c r="R22" s="30"/>
      <c r="S22" s="30"/>
      <c r="T22" s="30"/>
      <c r="U22" s="30"/>
      <c r="V22" s="30"/>
      <c r="W22" s="31">
        <f t="shared" si="0"/>
        <v>0</v>
      </c>
      <c r="X22" s="31">
        <f t="shared" si="2"/>
        <v>0</v>
      </c>
      <c r="Y22" s="31">
        <f t="shared" si="3"/>
        <v>0</v>
      </c>
      <c r="Z22" s="31">
        <f t="shared" si="4"/>
        <v>0</v>
      </c>
      <c r="AA22" s="31">
        <f t="shared" si="5"/>
        <v>0</v>
      </c>
      <c r="AB22" s="74" t="e">
        <f t="shared" si="1"/>
        <v>#DIV/0!</v>
      </c>
      <c r="AC22" s="74" t="e">
        <f t="shared" si="6"/>
        <v>#DIV/0!</v>
      </c>
    </row>
    <row r="23" spans="1:29" x14ac:dyDescent="0.35">
      <c r="A23" s="43"/>
      <c r="B23" s="20"/>
      <c r="C23" s="124"/>
      <c r="D23" s="43"/>
      <c r="E23" s="125"/>
      <c r="F23" s="126"/>
      <c r="G23" s="126"/>
      <c r="H23" s="126"/>
      <c r="I23" s="126"/>
      <c r="J23" s="126"/>
      <c r="K23" s="126"/>
      <c r="L23" s="126"/>
      <c r="M23" s="126"/>
      <c r="N23" s="126"/>
      <c r="O23" s="126"/>
      <c r="P23" s="30"/>
      <c r="Q23" s="30"/>
      <c r="R23" s="30"/>
      <c r="S23" s="30"/>
      <c r="T23" s="30"/>
      <c r="U23" s="30"/>
      <c r="V23" s="30"/>
      <c r="W23" s="31">
        <f t="shared" si="0"/>
        <v>0</v>
      </c>
      <c r="X23" s="31">
        <f t="shared" si="2"/>
        <v>0</v>
      </c>
      <c r="Y23" s="31">
        <f t="shared" si="3"/>
        <v>0</v>
      </c>
      <c r="Z23" s="31">
        <f t="shared" si="4"/>
        <v>0</v>
      </c>
      <c r="AA23" s="31">
        <f t="shared" si="5"/>
        <v>0</v>
      </c>
      <c r="AB23" s="74" t="e">
        <f t="shared" si="1"/>
        <v>#DIV/0!</v>
      </c>
      <c r="AC23" s="74" t="e">
        <f t="shared" si="6"/>
        <v>#DIV/0!</v>
      </c>
    </row>
    <row r="24" spans="1:29" x14ac:dyDescent="0.35">
      <c r="A24" s="43"/>
      <c r="B24" s="20"/>
      <c r="C24" s="124"/>
      <c r="D24" s="43"/>
      <c r="E24" s="125"/>
      <c r="F24" s="126"/>
      <c r="G24" s="126"/>
      <c r="H24" s="126"/>
      <c r="I24" s="126"/>
      <c r="J24" s="126"/>
      <c r="K24" s="126"/>
      <c r="L24" s="126"/>
      <c r="M24" s="126"/>
      <c r="N24" s="126"/>
      <c r="O24" s="126"/>
      <c r="P24" s="30"/>
      <c r="Q24" s="30"/>
      <c r="R24" s="30"/>
      <c r="S24" s="30"/>
      <c r="T24" s="30"/>
      <c r="U24" s="30"/>
      <c r="V24" s="30"/>
      <c r="W24" s="31">
        <f t="shared" si="0"/>
        <v>0</v>
      </c>
      <c r="X24" s="31">
        <f t="shared" si="2"/>
        <v>0</v>
      </c>
      <c r="Y24" s="31">
        <f t="shared" si="3"/>
        <v>0</v>
      </c>
      <c r="Z24" s="31">
        <f t="shared" si="4"/>
        <v>0</v>
      </c>
      <c r="AA24" s="31">
        <f t="shared" si="5"/>
        <v>0</v>
      </c>
      <c r="AB24" s="74" t="e">
        <f t="shared" si="1"/>
        <v>#DIV/0!</v>
      </c>
      <c r="AC24" s="74" t="e">
        <f t="shared" si="6"/>
        <v>#DIV/0!</v>
      </c>
    </row>
    <row r="25" spans="1:29" x14ac:dyDescent="0.35">
      <c r="A25" s="43"/>
      <c r="B25" s="20"/>
      <c r="C25" s="124"/>
      <c r="D25" s="43"/>
      <c r="E25" s="125"/>
      <c r="F25" s="126"/>
      <c r="G25" s="126"/>
      <c r="H25" s="126"/>
      <c r="I25" s="126"/>
      <c r="J25" s="126"/>
      <c r="K25" s="126"/>
      <c r="L25" s="126"/>
      <c r="M25" s="126"/>
      <c r="N25" s="126"/>
      <c r="O25" s="126"/>
      <c r="P25" s="30"/>
      <c r="Q25" s="30"/>
      <c r="R25" s="30"/>
      <c r="S25" s="30"/>
      <c r="T25" s="30"/>
      <c r="U25" s="30"/>
      <c r="V25" s="30"/>
      <c r="W25" s="31">
        <f t="shared" si="0"/>
        <v>0</v>
      </c>
      <c r="X25" s="31">
        <f t="shared" si="2"/>
        <v>0</v>
      </c>
      <c r="Y25" s="31">
        <f t="shared" si="3"/>
        <v>0</v>
      </c>
      <c r="Z25" s="31">
        <f t="shared" si="4"/>
        <v>0</v>
      </c>
      <c r="AA25" s="31">
        <f t="shared" si="5"/>
        <v>0</v>
      </c>
      <c r="AB25" s="74" t="e">
        <f t="shared" si="1"/>
        <v>#DIV/0!</v>
      </c>
      <c r="AC25" s="74" t="e">
        <f t="shared" si="6"/>
        <v>#DIV/0!</v>
      </c>
    </row>
    <row r="26" spans="1:29" x14ac:dyDescent="0.35">
      <c r="A26" s="43"/>
      <c r="B26" s="20"/>
      <c r="C26" s="124"/>
      <c r="D26" s="43"/>
      <c r="E26" s="125"/>
      <c r="F26" s="126"/>
      <c r="G26" s="126"/>
      <c r="H26" s="126"/>
      <c r="I26" s="126"/>
      <c r="J26" s="126"/>
      <c r="K26" s="126"/>
      <c r="L26" s="126"/>
      <c r="M26" s="126"/>
      <c r="N26" s="126"/>
      <c r="O26" s="126"/>
      <c r="P26" s="30"/>
      <c r="Q26" s="30"/>
      <c r="R26" s="30"/>
      <c r="S26" s="30"/>
      <c r="T26" s="30"/>
      <c r="U26" s="30"/>
      <c r="V26" s="30"/>
      <c r="W26" s="31">
        <f t="shared" si="0"/>
        <v>0</v>
      </c>
      <c r="X26" s="31">
        <f t="shared" si="2"/>
        <v>0</v>
      </c>
      <c r="Y26" s="31">
        <f t="shared" si="3"/>
        <v>0</v>
      </c>
      <c r="Z26" s="31">
        <f t="shared" si="4"/>
        <v>0</v>
      </c>
      <c r="AA26" s="31">
        <f t="shared" si="5"/>
        <v>0</v>
      </c>
      <c r="AB26" s="74" t="e">
        <f t="shared" si="1"/>
        <v>#DIV/0!</v>
      </c>
      <c r="AC26" s="74" t="e">
        <f t="shared" si="6"/>
        <v>#DIV/0!</v>
      </c>
    </row>
    <row r="27" spans="1:29" x14ac:dyDescent="0.35">
      <c r="A27" s="43"/>
      <c r="B27" s="20"/>
      <c r="C27" s="124"/>
      <c r="D27" s="43"/>
      <c r="E27" s="125"/>
      <c r="F27" s="126"/>
      <c r="G27" s="126"/>
      <c r="H27" s="126"/>
      <c r="I27" s="126"/>
      <c r="J27" s="126"/>
      <c r="K27" s="126"/>
      <c r="L27" s="126"/>
      <c r="M27" s="126"/>
      <c r="N27" s="126"/>
      <c r="O27" s="126"/>
      <c r="P27" s="30"/>
      <c r="Q27" s="30"/>
      <c r="R27" s="30"/>
      <c r="S27" s="30"/>
      <c r="T27" s="30"/>
      <c r="U27" s="30"/>
      <c r="V27" s="30"/>
      <c r="W27" s="31">
        <f t="shared" si="0"/>
        <v>0</v>
      </c>
      <c r="X27" s="31">
        <f t="shared" si="2"/>
        <v>0</v>
      </c>
      <c r="Y27" s="31">
        <f t="shared" si="3"/>
        <v>0</v>
      </c>
      <c r="Z27" s="31">
        <f t="shared" si="4"/>
        <v>0</v>
      </c>
      <c r="AA27" s="31">
        <f t="shared" si="5"/>
        <v>0</v>
      </c>
      <c r="AB27" s="74" t="e">
        <f t="shared" si="1"/>
        <v>#DIV/0!</v>
      </c>
      <c r="AC27" s="74" t="e">
        <f t="shared" si="6"/>
        <v>#DIV/0!</v>
      </c>
    </row>
    <row r="28" spans="1:29" x14ac:dyDescent="0.35">
      <c r="A28" s="43"/>
      <c r="B28" s="20"/>
      <c r="C28" s="124"/>
      <c r="D28" s="43"/>
      <c r="E28" s="125"/>
      <c r="F28" s="126"/>
      <c r="G28" s="126"/>
      <c r="H28" s="126"/>
      <c r="I28" s="126"/>
      <c r="J28" s="126"/>
      <c r="K28" s="126"/>
      <c r="L28" s="126"/>
      <c r="M28" s="126"/>
      <c r="N28" s="126"/>
      <c r="O28" s="126"/>
      <c r="P28" s="61"/>
      <c r="Q28" s="61"/>
      <c r="R28" s="61"/>
      <c r="S28" s="61"/>
      <c r="T28" s="61"/>
      <c r="U28" s="61"/>
      <c r="V28" s="61"/>
      <c r="W28" s="62">
        <f t="shared" si="0"/>
        <v>0</v>
      </c>
      <c r="X28" s="62">
        <f t="shared" si="2"/>
        <v>0</v>
      </c>
      <c r="Y28" s="62">
        <f t="shared" si="3"/>
        <v>0</v>
      </c>
      <c r="Z28" s="62">
        <f t="shared" si="4"/>
        <v>0</v>
      </c>
      <c r="AA28" s="62">
        <f t="shared" si="5"/>
        <v>0</v>
      </c>
      <c r="AB28" s="74" t="e">
        <f t="shared" si="1"/>
        <v>#DIV/0!</v>
      </c>
      <c r="AC28" s="74" t="e">
        <f t="shared" si="6"/>
        <v>#DIV/0!</v>
      </c>
    </row>
    <row r="29" spans="1:29" x14ac:dyDescent="0.35">
      <c r="A29" s="43"/>
      <c r="B29" s="20"/>
      <c r="C29" s="124"/>
      <c r="D29" s="43"/>
      <c r="E29" s="125"/>
      <c r="F29" s="126"/>
      <c r="G29" s="126"/>
      <c r="H29" s="126"/>
      <c r="I29" s="126"/>
      <c r="J29" s="126"/>
      <c r="K29" s="126"/>
      <c r="L29" s="126"/>
      <c r="M29" s="126"/>
      <c r="N29" s="126"/>
      <c r="O29" s="126"/>
      <c r="P29" s="61"/>
      <c r="Q29" s="61"/>
      <c r="R29" s="61"/>
      <c r="S29" s="61"/>
      <c r="T29" s="61"/>
      <c r="U29" s="61"/>
      <c r="V29" s="61"/>
      <c r="W29" s="62">
        <f t="shared" ref="W29:W59" si="7">SUM(F29:M29)</f>
        <v>0</v>
      </c>
      <c r="X29" s="62">
        <f t="shared" ref="X29:X59" si="8">SUM(N29:S29)</f>
        <v>0</v>
      </c>
      <c r="Y29" s="62">
        <f t="shared" ref="Y29:Y59" si="9">W29+X29</f>
        <v>0</v>
      </c>
      <c r="Z29" s="62">
        <f t="shared" ref="Z29:Z59" si="10">W29-U29</f>
        <v>0</v>
      </c>
      <c r="AA29" s="62">
        <f t="shared" ref="AA29:AA59" si="11">Z29+X29</f>
        <v>0</v>
      </c>
      <c r="AB29" s="74" t="e">
        <f t="shared" ref="AB29:AB59" si="12">Y29/E29</f>
        <v>#DIV/0!</v>
      </c>
      <c r="AC29" s="75" t="e">
        <f t="shared" ref="AC29:AC59" si="13">AA29/E29</f>
        <v>#DIV/0!</v>
      </c>
    </row>
    <row r="30" spans="1:29" x14ac:dyDescent="0.35">
      <c r="A30" s="43"/>
      <c r="B30" s="20"/>
      <c r="C30" s="124"/>
      <c r="D30" s="43"/>
      <c r="E30" s="125"/>
      <c r="F30" s="126"/>
      <c r="G30" s="126"/>
      <c r="H30" s="126"/>
      <c r="I30" s="126"/>
      <c r="J30" s="126"/>
      <c r="K30" s="126"/>
      <c r="L30" s="126"/>
      <c r="M30" s="126"/>
      <c r="N30" s="126"/>
      <c r="O30" s="126"/>
      <c r="P30" s="61"/>
      <c r="Q30" s="61"/>
      <c r="R30" s="61"/>
      <c r="S30" s="61"/>
      <c r="T30" s="61"/>
      <c r="U30" s="61"/>
      <c r="V30" s="61"/>
      <c r="W30" s="62">
        <f t="shared" si="7"/>
        <v>0</v>
      </c>
      <c r="X30" s="62">
        <f t="shared" si="8"/>
        <v>0</v>
      </c>
      <c r="Y30" s="62">
        <f t="shared" si="9"/>
        <v>0</v>
      </c>
      <c r="Z30" s="62">
        <f t="shared" si="10"/>
        <v>0</v>
      </c>
      <c r="AA30" s="62">
        <f t="shared" si="11"/>
        <v>0</v>
      </c>
      <c r="AB30" s="74" t="e">
        <f t="shared" si="12"/>
        <v>#DIV/0!</v>
      </c>
      <c r="AC30" s="75" t="e">
        <f t="shared" si="13"/>
        <v>#DIV/0!</v>
      </c>
    </row>
    <row r="31" spans="1:29" x14ac:dyDescent="0.35">
      <c r="A31" s="43"/>
      <c r="B31" s="20"/>
      <c r="C31" s="124"/>
      <c r="D31" s="43"/>
      <c r="E31" s="125"/>
      <c r="F31" s="126"/>
      <c r="G31" s="126"/>
      <c r="H31" s="126"/>
      <c r="I31" s="126"/>
      <c r="J31" s="126"/>
      <c r="K31" s="126"/>
      <c r="L31" s="126"/>
      <c r="M31" s="126"/>
      <c r="N31" s="126"/>
      <c r="O31" s="126"/>
      <c r="P31" s="61"/>
      <c r="Q31" s="61"/>
      <c r="R31" s="61"/>
      <c r="S31" s="61"/>
      <c r="T31" s="61"/>
      <c r="U31" s="61"/>
      <c r="V31" s="61"/>
      <c r="W31" s="62">
        <f t="shared" si="7"/>
        <v>0</v>
      </c>
      <c r="X31" s="62">
        <f t="shared" si="8"/>
        <v>0</v>
      </c>
      <c r="Y31" s="62">
        <f t="shared" si="9"/>
        <v>0</v>
      </c>
      <c r="Z31" s="62">
        <f t="shared" si="10"/>
        <v>0</v>
      </c>
      <c r="AA31" s="62">
        <f t="shared" si="11"/>
        <v>0</v>
      </c>
      <c r="AB31" s="74" t="e">
        <f t="shared" si="12"/>
        <v>#DIV/0!</v>
      </c>
      <c r="AC31" s="75" t="e">
        <f t="shared" si="13"/>
        <v>#DIV/0!</v>
      </c>
    </row>
    <row r="32" spans="1:29" x14ac:dyDescent="0.35">
      <c r="A32" s="43"/>
      <c r="B32" s="20"/>
      <c r="C32" s="124"/>
      <c r="D32" s="43"/>
      <c r="E32" s="125"/>
      <c r="F32" s="126"/>
      <c r="G32" s="126"/>
      <c r="H32" s="126"/>
      <c r="I32" s="126"/>
      <c r="J32" s="126"/>
      <c r="K32" s="126"/>
      <c r="L32" s="126"/>
      <c r="M32" s="126"/>
      <c r="N32" s="126"/>
      <c r="O32" s="126"/>
      <c r="P32" s="61"/>
      <c r="Q32" s="61"/>
      <c r="R32" s="61"/>
      <c r="S32" s="61"/>
      <c r="T32" s="61"/>
      <c r="U32" s="61"/>
      <c r="V32" s="61"/>
      <c r="W32" s="62">
        <f t="shared" si="7"/>
        <v>0</v>
      </c>
      <c r="X32" s="62">
        <f t="shared" si="8"/>
        <v>0</v>
      </c>
      <c r="Y32" s="62">
        <f t="shared" si="9"/>
        <v>0</v>
      </c>
      <c r="Z32" s="62">
        <f t="shared" si="10"/>
        <v>0</v>
      </c>
      <c r="AA32" s="62">
        <f t="shared" si="11"/>
        <v>0</v>
      </c>
      <c r="AB32" s="74" t="e">
        <f t="shared" si="12"/>
        <v>#DIV/0!</v>
      </c>
      <c r="AC32" s="75" t="e">
        <f t="shared" si="13"/>
        <v>#DIV/0!</v>
      </c>
    </row>
    <row r="33" spans="1:29" x14ac:dyDescent="0.35">
      <c r="A33" s="43"/>
      <c r="B33" s="20"/>
      <c r="C33" s="124"/>
      <c r="D33" s="43"/>
      <c r="E33" s="125"/>
      <c r="F33" s="126"/>
      <c r="G33" s="126"/>
      <c r="H33" s="126"/>
      <c r="I33" s="126"/>
      <c r="J33" s="126"/>
      <c r="K33" s="126"/>
      <c r="L33" s="126"/>
      <c r="M33" s="126"/>
      <c r="N33" s="126"/>
      <c r="O33" s="126"/>
      <c r="P33" s="61"/>
      <c r="Q33" s="61"/>
      <c r="R33" s="61"/>
      <c r="S33" s="61"/>
      <c r="T33" s="61"/>
      <c r="U33" s="61"/>
      <c r="V33" s="61"/>
      <c r="W33" s="62">
        <f t="shared" si="7"/>
        <v>0</v>
      </c>
      <c r="X33" s="62">
        <f t="shared" si="8"/>
        <v>0</v>
      </c>
      <c r="Y33" s="62">
        <f t="shared" si="9"/>
        <v>0</v>
      </c>
      <c r="Z33" s="62">
        <f t="shared" si="10"/>
        <v>0</v>
      </c>
      <c r="AA33" s="62">
        <f t="shared" si="11"/>
        <v>0</v>
      </c>
      <c r="AB33" s="74" t="e">
        <f t="shared" si="12"/>
        <v>#DIV/0!</v>
      </c>
      <c r="AC33" s="75" t="e">
        <f t="shared" si="13"/>
        <v>#DIV/0!</v>
      </c>
    </row>
    <row r="34" spans="1:29" x14ac:dyDescent="0.35">
      <c r="A34" s="43"/>
      <c r="B34" s="20"/>
      <c r="C34" s="124"/>
      <c r="D34" s="43"/>
      <c r="E34" s="125"/>
      <c r="F34" s="126"/>
      <c r="G34" s="126"/>
      <c r="H34" s="126"/>
      <c r="I34" s="126"/>
      <c r="J34" s="126"/>
      <c r="K34" s="126"/>
      <c r="L34" s="126"/>
      <c r="M34" s="126"/>
      <c r="N34" s="126"/>
      <c r="O34" s="126"/>
      <c r="P34" s="61"/>
      <c r="Q34" s="61"/>
      <c r="R34" s="61"/>
      <c r="S34" s="61"/>
      <c r="T34" s="61"/>
      <c r="U34" s="61"/>
      <c r="V34" s="61"/>
      <c r="W34" s="62">
        <f t="shared" si="7"/>
        <v>0</v>
      </c>
      <c r="X34" s="62">
        <f t="shared" si="8"/>
        <v>0</v>
      </c>
      <c r="Y34" s="62">
        <f t="shared" si="9"/>
        <v>0</v>
      </c>
      <c r="Z34" s="62">
        <f t="shared" si="10"/>
        <v>0</v>
      </c>
      <c r="AA34" s="62">
        <f t="shared" si="11"/>
        <v>0</v>
      </c>
      <c r="AB34" s="74" t="e">
        <f t="shared" si="12"/>
        <v>#DIV/0!</v>
      </c>
      <c r="AC34" s="75" t="e">
        <f t="shared" si="13"/>
        <v>#DIV/0!</v>
      </c>
    </row>
    <row r="35" spans="1:29" x14ac:dyDescent="0.35">
      <c r="A35" s="43"/>
      <c r="B35" s="20"/>
      <c r="C35" s="124"/>
      <c r="D35" s="43"/>
      <c r="E35" s="125"/>
      <c r="F35" s="126"/>
      <c r="G35" s="126"/>
      <c r="H35" s="126"/>
      <c r="I35" s="126"/>
      <c r="J35" s="126"/>
      <c r="K35" s="126"/>
      <c r="L35" s="126"/>
      <c r="M35" s="126"/>
      <c r="N35" s="126"/>
      <c r="O35" s="126"/>
      <c r="P35" s="61"/>
      <c r="Q35" s="61"/>
      <c r="R35" s="61"/>
      <c r="S35" s="61"/>
      <c r="T35" s="61"/>
      <c r="U35" s="61"/>
      <c r="V35" s="61"/>
      <c r="W35" s="62">
        <f t="shared" si="7"/>
        <v>0</v>
      </c>
      <c r="X35" s="62">
        <f t="shared" si="8"/>
        <v>0</v>
      </c>
      <c r="Y35" s="62">
        <f t="shared" si="9"/>
        <v>0</v>
      </c>
      <c r="Z35" s="62">
        <f t="shared" si="10"/>
        <v>0</v>
      </c>
      <c r="AA35" s="62">
        <f t="shared" si="11"/>
        <v>0</v>
      </c>
      <c r="AB35" s="74" t="e">
        <f t="shared" si="12"/>
        <v>#DIV/0!</v>
      </c>
      <c r="AC35" s="75" t="e">
        <f t="shared" si="13"/>
        <v>#DIV/0!</v>
      </c>
    </row>
    <row r="36" spans="1:29" x14ac:dyDescent="0.35">
      <c r="A36" s="43"/>
      <c r="B36" s="20"/>
      <c r="C36" s="124"/>
      <c r="D36" s="43"/>
      <c r="E36" s="125"/>
      <c r="F36" s="126"/>
      <c r="G36" s="126"/>
      <c r="H36" s="126"/>
      <c r="I36" s="126"/>
      <c r="J36" s="126"/>
      <c r="K36" s="126"/>
      <c r="L36" s="126"/>
      <c r="M36" s="126"/>
      <c r="N36" s="126"/>
      <c r="O36" s="126"/>
      <c r="P36" s="61"/>
      <c r="Q36" s="61"/>
      <c r="R36" s="61"/>
      <c r="S36" s="61"/>
      <c r="T36" s="61"/>
      <c r="U36" s="61"/>
      <c r="V36" s="61"/>
      <c r="W36" s="62">
        <f t="shared" si="7"/>
        <v>0</v>
      </c>
      <c r="X36" s="62">
        <f t="shared" si="8"/>
        <v>0</v>
      </c>
      <c r="Y36" s="62">
        <f t="shared" si="9"/>
        <v>0</v>
      </c>
      <c r="Z36" s="62">
        <f t="shared" si="10"/>
        <v>0</v>
      </c>
      <c r="AA36" s="62">
        <f t="shared" si="11"/>
        <v>0</v>
      </c>
      <c r="AB36" s="74" t="e">
        <f t="shared" si="12"/>
        <v>#DIV/0!</v>
      </c>
      <c r="AC36" s="75" t="e">
        <f t="shared" si="13"/>
        <v>#DIV/0!</v>
      </c>
    </row>
    <row r="37" spans="1:29" x14ac:dyDescent="0.35">
      <c r="A37" s="43"/>
      <c r="B37" s="20"/>
      <c r="C37" s="124"/>
      <c r="D37" s="43"/>
      <c r="E37" s="125"/>
      <c r="F37" s="126"/>
      <c r="G37" s="126"/>
      <c r="H37" s="126"/>
      <c r="I37" s="126"/>
      <c r="J37" s="126"/>
      <c r="K37" s="126"/>
      <c r="L37" s="126"/>
      <c r="M37" s="126"/>
      <c r="N37" s="126"/>
      <c r="O37" s="126"/>
      <c r="P37" s="61"/>
      <c r="Q37" s="61"/>
      <c r="R37" s="61"/>
      <c r="S37" s="61"/>
      <c r="T37" s="61"/>
      <c r="U37" s="61"/>
      <c r="V37" s="61"/>
      <c r="W37" s="62">
        <f t="shared" si="7"/>
        <v>0</v>
      </c>
      <c r="X37" s="62">
        <f t="shared" si="8"/>
        <v>0</v>
      </c>
      <c r="Y37" s="62">
        <f t="shared" si="9"/>
        <v>0</v>
      </c>
      <c r="Z37" s="62">
        <f t="shared" si="10"/>
        <v>0</v>
      </c>
      <c r="AA37" s="62">
        <f t="shared" si="11"/>
        <v>0</v>
      </c>
      <c r="AB37" s="74" t="e">
        <f t="shared" si="12"/>
        <v>#DIV/0!</v>
      </c>
      <c r="AC37" s="75" t="e">
        <f t="shared" si="13"/>
        <v>#DIV/0!</v>
      </c>
    </row>
    <row r="38" spans="1:29" x14ac:dyDescent="0.35">
      <c r="A38" s="43"/>
      <c r="B38" s="20"/>
      <c r="C38" s="124"/>
      <c r="D38" s="43"/>
      <c r="E38" s="125"/>
      <c r="F38" s="126"/>
      <c r="G38" s="126"/>
      <c r="H38" s="126"/>
      <c r="I38" s="126"/>
      <c r="J38" s="126"/>
      <c r="K38" s="126"/>
      <c r="L38" s="126"/>
      <c r="M38" s="126"/>
      <c r="N38" s="126"/>
      <c r="O38" s="126"/>
      <c r="P38" s="61"/>
      <c r="Q38" s="61"/>
      <c r="R38" s="61"/>
      <c r="S38" s="61"/>
      <c r="T38" s="61"/>
      <c r="U38" s="61"/>
      <c r="V38" s="61"/>
      <c r="W38" s="62">
        <f t="shared" si="7"/>
        <v>0</v>
      </c>
      <c r="X38" s="62">
        <f t="shared" si="8"/>
        <v>0</v>
      </c>
      <c r="Y38" s="62">
        <f t="shared" si="9"/>
        <v>0</v>
      </c>
      <c r="Z38" s="62">
        <f t="shared" si="10"/>
        <v>0</v>
      </c>
      <c r="AA38" s="62">
        <f t="shared" si="11"/>
        <v>0</v>
      </c>
      <c r="AB38" s="74" t="e">
        <f t="shared" si="12"/>
        <v>#DIV/0!</v>
      </c>
      <c r="AC38" s="75" t="e">
        <f t="shared" si="13"/>
        <v>#DIV/0!</v>
      </c>
    </row>
    <row r="39" spans="1:29" x14ac:dyDescent="0.35">
      <c r="A39" s="43"/>
      <c r="B39" s="20"/>
      <c r="C39" s="124"/>
      <c r="D39" s="43"/>
      <c r="E39" s="125"/>
      <c r="F39" s="126"/>
      <c r="G39" s="126"/>
      <c r="H39" s="126"/>
      <c r="I39" s="126"/>
      <c r="J39" s="126"/>
      <c r="K39" s="126"/>
      <c r="L39" s="126"/>
      <c r="M39" s="126"/>
      <c r="N39" s="126"/>
      <c r="O39" s="126"/>
      <c r="P39" s="61"/>
      <c r="Q39" s="61"/>
      <c r="R39" s="61"/>
      <c r="S39" s="61"/>
      <c r="T39" s="61"/>
      <c r="U39" s="61"/>
      <c r="V39" s="61"/>
      <c r="W39" s="62">
        <f t="shared" si="7"/>
        <v>0</v>
      </c>
      <c r="X39" s="62">
        <f t="shared" si="8"/>
        <v>0</v>
      </c>
      <c r="Y39" s="62">
        <f t="shared" si="9"/>
        <v>0</v>
      </c>
      <c r="Z39" s="62">
        <f t="shared" si="10"/>
        <v>0</v>
      </c>
      <c r="AA39" s="62">
        <f t="shared" si="11"/>
        <v>0</v>
      </c>
      <c r="AB39" s="74" t="e">
        <f t="shared" si="12"/>
        <v>#DIV/0!</v>
      </c>
      <c r="AC39" s="75" t="e">
        <f t="shared" si="13"/>
        <v>#DIV/0!</v>
      </c>
    </row>
    <row r="40" spans="1:29" x14ac:dyDescent="0.35">
      <c r="A40" s="43"/>
      <c r="B40" s="20"/>
      <c r="C40" s="124"/>
      <c r="D40" s="43"/>
      <c r="E40" s="125"/>
      <c r="F40" s="126"/>
      <c r="G40" s="126"/>
      <c r="H40" s="126"/>
      <c r="I40" s="126"/>
      <c r="J40" s="126"/>
      <c r="K40" s="126"/>
      <c r="L40" s="126"/>
      <c r="M40" s="126"/>
      <c r="N40" s="126"/>
      <c r="O40" s="126"/>
      <c r="P40" s="61"/>
      <c r="Q40" s="61"/>
      <c r="R40" s="61"/>
      <c r="S40" s="61"/>
      <c r="T40" s="61"/>
      <c r="U40" s="61"/>
      <c r="V40" s="61"/>
      <c r="W40" s="62">
        <f t="shared" si="7"/>
        <v>0</v>
      </c>
      <c r="X40" s="62">
        <f t="shared" si="8"/>
        <v>0</v>
      </c>
      <c r="Y40" s="62">
        <f t="shared" si="9"/>
        <v>0</v>
      </c>
      <c r="Z40" s="62">
        <f t="shared" si="10"/>
        <v>0</v>
      </c>
      <c r="AA40" s="62">
        <f t="shared" si="11"/>
        <v>0</v>
      </c>
      <c r="AB40" s="74" t="e">
        <f t="shared" si="12"/>
        <v>#DIV/0!</v>
      </c>
      <c r="AC40" s="75" t="e">
        <f t="shared" si="13"/>
        <v>#DIV/0!</v>
      </c>
    </row>
    <row r="41" spans="1:29" x14ac:dyDescent="0.35">
      <c r="A41" s="43"/>
      <c r="B41" s="20"/>
      <c r="C41" s="124"/>
      <c r="D41" s="43"/>
      <c r="E41" s="125"/>
      <c r="F41" s="126"/>
      <c r="G41" s="126"/>
      <c r="H41" s="126"/>
      <c r="I41" s="126"/>
      <c r="J41" s="126"/>
      <c r="K41" s="126"/>
      <c r="L41" s="126"/>
      <c r="M41" s="126"/>
      <c r="N41" s="126"/>
      <c r="O41" s="126"/>
      <c r="P41" s="61"/>
      <c r="Q41" s="61"/>
      <c r="R41" s="61"/>
      <c r="S41" s="61"/>
      <c r="T41" s="61"/>
      <c r="U41" s="61"/>
      <c r="V41" s="61"/>
      <c r="W41" s="62">
        <f t="shared" si="7"/>
        <v>0</v>
      </c>
      <c r="X41" s="62">
        <f t="shared" si="8"/>
        <v>0</v>
      </c>
      <c r="Y41" s="62">
        <f t="shared" si="9"/>
        <v>0</v>
      </c>
      <c r="Z41" s="62">
        <f t="shared" si="10"/>
        <v>0</v>
      </c>
      <c r="AA41" s="62">
        <f t="shared" si="11"/>
        <v>0</v>
      </c>
      <c r="AB41" s="74" t="e">
        <f t="shared" si="12"/>
        <v>#DIV/0!</v>
      </c>
      <c r="AC41" s="75" t="e">
        <f t="shared" si="13"/>
        <v>#DIV/0!</v>
      </c>
    </row>
    <row r="42" spans="1:29" x14ac:dyDescent="0.35">
      <c r="A42" s="43"/>
      <c r="B42" s="20"/>
      <c r="C42" s="124"/>
      <c r="D42" s="43"/>
      <c r="E42" s="125"/>
      <c r="F42" s="126"/>
      <c r="G42" s="126"/>
      <c r="H42" s="126"/>
      <c r="I42" s="126"/>
      <c r="J42" s="126"/>
      <c r="K42" s="126"/>
      <c r="L42" s="126"/>
      <c r="M42" s="126"/>
      <c r="N42" s="126"/>
      <c r="O42" s="126"/>
      <c r="P42" s="61"/>
      <c r="Q42" s="61"/>
      <c r="R42" s="61"/>
      <c r="S42" s="61"/>
      <c r="T42" s="61"/>
      <c r="U42" s="61"/>
      <c r="V42" s="61"/>
      <c r="W42" s="62">
        <f t="shared" si="7"/>
        <v>0</v>
      </c>
      <c r="X42" s="62">
        <f t="shared" si="8"/>
        <v>0</v>
      </c>
      <c r="Y42" s="62">
        <f t="shared" si="9"/>
        <v>0</v>
      </c>
      <c r="Z42" s="62">
        <f t="shared" si="10"/>
        <v>0</v>
      </c>
      <c r="AA42" s="62">
        <f t="shared" si="11"/>
        <v>0</v>
      </c>
      <c r="AB42" s="74" t="e">
        <f t="shared" si="12"/>
        <v>#DIV/0!</v>
      </c>
      <c r="AC42" s="75" t="e">
        <f t="shared" si="13"/>
        <v>#DIV/0!</v>
      </c>
    </row>
    <row r="43" spans="1:29" x14ac:dyDescent="0.35">
      <c r="A43" s="43"/>
      <c r="B43" s="20"/>
      <c r="C43" s="124"/>
      <c r="D43" s="43"/>
      <c r="E43" s="125"/>
      <c r="F43" s="126"/>
      <c r="G43" s="126"/>
      <c r="H43" s="126"/>
      <c r="I43" s="126"/>
      <c r="J43" s="126"/>
      <c r="K43" s="126"/>
      <c r="L43" s="126"/>
      <c r="M43" s="126"/>
      <c r="N43" s="126"/>
      <c r="O43" s="126"/>
      <c r="P43" s="61"/>
      <c r="Q43" s="61"/>
      <c r="R43" s="61"/>
      <c r="S43" s="61"/>
      <c r="T43" s="61"/>
      <c r="U43" s="61"/>
      <c r="V43" s="61"/>
      <c r="W43" s="62">
        <f t="shared" si="7"/>
        <v>0</v>
      </c>
      <c r="X43" s="62">
        <f t="shared" si="8"/>
        <v>0</v>
      </c>
      <c r="Y43" s="62">
        <f t="shared" si="9"/>
        <v>0</v>
      </c>
      <c r="Z43" s="62">
        <f t="shared" si="10"/>
        <v>0</v>
      </c>
      <c r="AA43" s="62">
        <f t="shared" si="11"/>
        <v>0</v>
      </c>
      <c r="AB43" s="74" t="e">
        <f t="shared" si="12"/>
        <v>#DIV/0!</v>
      </c>
      <c r="AC43" s="75" t="e">
        <f t="shared" si="13"/>
        <v>#DIV/0!</v>
      </c>
    </row>
    <row r="44" spans="1:29" x14ac:dyDescent="0.35">
      <c r="A44" s="43"/>
      <c r="B44" s="20"/>
      <c r="C44" s="124"/>
      <c r="D44" s="43"/>
      <c r="E44" s="125"/>
      <c r="F44" s="126"/>
      <c r="G44" s="126"/>
      <c r="H44" s="126"/>
      <c r="I44" s="126"/>
      <c r="J44" s="126"/>
      <c r="K44" s="126"/>
      <c r="L44" s="126"/>
      <c r="M44" s="126"/>
      <c r="N44" s="126"/>
      <c r="O44" s="126"/>
      <c r="P44" s="61"/>
      <c r="Q44" s="61"/>
      <c r="R44" s="61"/>
      <c r="S44" s="61"/>
      <c r="T44" s="61"/>
      <c r="U44" s="61"/>
      <c r="V44" s="61"/>
      <c r="W44" s="62">
        <f t="shared" si="7"/>
        <v>0</v>
      </c>
      <c r="X44" s="62">
        <f t="shared" si="8"/>
        <v>0</v>
      </c>
      <c r="Y44" s="62">
        <f t="shared" si="9"/>
        <v>0</v>
      </c>
      <c r="Z44" s="62">
        <f t="shared" si="10"/>
        <v>0</v>
      </c>
      <c r="AA44" s="62">
        <f t="shared" si="11"/>
        <v>0</v>
      </c>
      <c r="AB44" s="74" t="e">
        <f t="shared" si="12"/>
        <v>#DIV/0!</v>
      </c>
      <c r="AC44" s="75" t="e">
        <f t="shared" si="13"/>
        <v>#DIV/0!</v>
      </c>
    </row>
    <row r="45" spans="1:29" x14ac:dyDescent="0.35">
      <c r="A45" s="57"/>
      <c r="B45" s="58"/>
      <c r="C45" s="59"/>
      <c r="D45" s="28"/>
      <c r="E45" s="60"/>
      <c r="F45" s="61"/>
      <c r="G45" s="61"/>
      <c r="H45" s="61"/>
      <c r="I45" s="61"/>
      <c r="J45" s="61"/>
      <c r="K45" s="61"/>
      <c r="L45" s="61"/>
      <c r="M45" s="61"/>
      <c r="N45" s="61"/>
      <c r="O45" s="61"/>
      <c r="P45" s="61"/>
      <c r="Q45" s="61"/>
      <c r="R45" s="61"/>
      <c r="S45" s="61"/>
      <c r="T45" s="61"/>
      <c r="U45" s="61"/>
      <c r="V45" s="61"/>
      <c r="W45" s="62">
        <f t="shared" si="7"/>
        <v>0</v>
      </c>
      <c r="X45" s="62">
        <f t="shared" si="8"/>
        <v>0</v>
      </c>
      <c r="Y45" s="62">
        <f t="shared" si="9"/>
        <v>0</v>
      </c>
      <c r="Z45" s="62">
        <f t="shared" si="10"/>
        <v>0</v>
      </c>
      <c r="AA45" s="62">
        <f t="shared" si="11"/>
        <v>0</v>
      </c>
      <c r="AB45" s="74" t="e">
        <f t="shared" si="12"/>
        <v>#DIV/0!</v>
      </c>
      <c r="AC45" s="75" t="e">
        <f t="shared" si="13"/>
        <v>#DIV/0!</v>
      </c>
    </row>
    <row r="46" spans="1:29" x14ac:dyDescent="0.35">
      <c r="A46" s="57"/>
      <c r="B46" s="58"/>
      <c r="C46" s="59"/>
      <c r="D46" s="28"/>
      <c r="E46" s="60"/>
      <c r="F46" s="61"/>
      <c r="G46" s="61"/>
      <c r="H46" s="61"/>
      <c r="I46" s="61"/>
      <c r="J46" s="61"/>
      <c r="K46" s="61"/>
      <c r="L46" s="61"/>
      <c r="M46" s="61"/>
      <c r="N46" s="61"/>
      <c r="O46" s="61"/>
      <c r="P46" s="61"/>
      <c r="Q46" s="61"/>
      <c r="R46" s="61"/>
      <c r="S46" s="61"/>
      <c r="T46" s="61"/>
      <c r="U46" s="61"/>
      <c r="V46" s="61"/>
      <c r="W46" s="62">
        <f t="shared" si="7"/>
        <v>0</v>
      </c>
      <c r="X46" s="62">
        <f t="shared" si="8"/>
        <v>0</v>
      </c>
      <c r="Y46" s="62">
        <f t="shared" si="9"/>
        <v>0</v>
      </c>
      <c r="Z46" s="62">
        <f t="shared" si="10"/>
        <v>0</v>
      </c>
      <c r="AA46" s="62">
        <f t="shared" si="11"/>
        <v>0</v>
      </c>
      <c r="AB46" s="74" t="e">
        <f t="shared" si="12"/>
        <v>#DIV/0!</v>
      </c>
      <c r="AC46" s="75" t="e">
        <f t="shared" si="13"/>
        <v>#DIV/0!</v>
      </c>
    </row>
    <row r="47" spans="1:29" x14ac:dyDescent="0.35">
      <c r="A47" s="57"/>
      <c r="B47" s="58"/>
      <c r="C47" s="59"/>
      <c r="D47" s="28"/>
      <c r="E47" s="60"/>
      <c r="F47" s="61"/>
      <c r="G47" s="61"/>
      <c r="H47" s="61"/>
      <c r="I47" s="61"/>
      <c r="J47" s="61"/>
      <c r="K47" s="61"/>
      <c r="L47" s="61"/>
      <c r="M47" s="61"/>
      <c r="N47" s="61"/>
      <c r="O47" s="61"/>
      <c r="P47" s="61"/>
      <c r="Q47" s="61"/>
      <c r="R47" s="61"/>
      <c r="S47" s="61"/>
      <c r="T47" s="61"/>
      <c r="U47" s="61"/>
      <c r="V47" s="61"/>
      <c r="W47" s="62">
        <f t="shared" si="7"/>
        <v>0</v>
      </c>
      <c r="X47" s="62">
        <f t="shared" si="8"/>
        <v>0</v>
      </c>
      <c r="Y47" s="62">
        <f t="shared" si="9"/>
        <v>0</v>
      </c>
      <c r="Z47" s="62">
        <f t="shared" si="10"/>
        <v>0</v>
      </c>
      <c r="AA47" s="62">
        <f t="shared" si="11"/>
        <v>0</v>
      </c>
      <c r="AB47" s="74" t="e">
        <f t="shared" si="12"/>
        <v>#DIV/0!</v>
      </c>
      <c r="AC47" s="75" t="e">
        <f t="shared" si="13"/>
        <v>#DIV/0!</v>
      </c>
    </row>
    <row r="48" spans="1:29" x14ac:dyDescent="0.35">
      <c r="A48" s="57"/>
      <c r="B48" s="58"/>
      <c r="C48" s="59"/>
      <c r="D48" s="28"/>
      <c r="E48" s="60"/>
      <c r="F48" s="61"/>
      <c r="G48" s="61"/>
      <c r="H48" s="61"/>
      <c r="I48" s="61"/>
      <c r="J48" s="61"/>
      <c r="K48" s="61"/>
      <c r="L48" s="61"/>
      <c r="M48" s="61"/>
      <c r="N48" s="61"/>
      <c r="O48" s="61"/>
      <c r="P48" s="61"/>
      <c r="Q48" s="61"/>
      <c r="R48" s="61"/>
      <c r="S48" s="61"/>
      <c r="T48" s="61"/>
      <c r="U48" s="61"/>
      <c r="V48" s="61"/>
      <c r="W48" s="62">
        <f t="shared" si="7"/>
        <v>0</v>
      </c>
      <c r="X48" s="62">
        <f t="shared" si="8"/>
        <v>0</v>
      </c>
      <c r="Y48" s="62">
        <f t="shared" si="9"/>
        <v>0</v>
      </c>
      <c r="Z48" s="62">
        <f t="shared" si="10"/>
        <v>0</v>
      </c>
      <c r="AA48" s="62">
        <f t="shared" si="11"/>
        <v>0</v>
      </c>
      <c r="AB48" s="74" t="e">
        <f t="shared" si="12"/>
        <v>#DIV/0!</v>
      </c>
      <c r="AC48" s="75" t="e">
        <f t="shared" si="13"/>
        <v>#DIV/0!</v>
      </c>
    </row>
    <row r="49" spans="1:29" x14ac:dyDescent="0.35">
      <c r="A49" s="57"/>
      <c r="B49" s="58"/>
      <c r="C49" s="59"/>
      <c r="D49" s="28"/>
      <c r="E49" s="60"/>
      <c r="F49" s="61"/>
      <c r="G49" s="61"/>
      <c r="H49" s="61"/>
      <c r="I49" s="61"/>
      <c r="J49" s="61"/>
      <c r="K49" s="61"/>
      <c r="L49" s="61"/>
      <c r="M49" s="61"/>
      <c r="N49" s="61"/>
      <c r="O49" s="61"/>
      <c r="P49" s="61"/>
      <c r="Q49" s="61"/>
      <c r="R49" s="61"/>
      <c r="S49" s="61"/>
      <c r="T49" s="61"/>
      <c r="U49" s="61"/>
      <c r="V49" s="61"/>
      <c r="W49" s="62">
        <f t="shared" si="7"/>
        <v>0</v>
      </c>
      <c r="X49" s="62">
        <f t="shared" si="8"/>
        <v>0</v>
      </c>
      <c r="Y49" s="62">
        <f t="shared" si="9"/>
        <v>0</v>
      </c>
      <c r="Z49" s="62">
        <f t="shared" si="10"/>
        <v>0</v>
      </c>
      <c r="AA49" s="62">
        <f t="shared" si="11"/>
        <v>0</v>
      </c>
      <c r="AB49" s="74" t="e">
        <f t="shared" si="12"/>
        <v>#DIV/0!</v>
      </c>
      <c r="AC49" s="75" t="e">
        <f t="shared" si="13"/>
        <v>#DIV/0!</v>
      </c>
    </row>
    <row r="50" spans="1:29" x14ac:dyDescent="0.35">
      <c r="A50" s="57"/>
      <c r="B50" s="58"/>
      <c r="C50" s="59"/>
      <c r="D50" s="28"/>
      <c r="E50" s="60"/>
      <c r="F50" s="61"/>
      <c r="G50" s="61"/>
      <c r="H50" s="61"/>
      <c r="I50" s="61"/>
      <c r="J50" s="61"/>
      <c r="K50" s="61"/>
      <c r="L50" s="61"/>
      <c r="M50" s="61"/>
      <c r="N50" s="61"/>
      <c r="O50" s="61"/>
      <c r="P50" s="61"/>
      <c r="Q50" s="61"/>
      <c r="R50" s="61"/>
      <c r="S50" s="61"/>
      <c r="T50" s="61"/>
      <c r="U50" s="61"/>
      <c r="V50" s="61"/>
      <c r="W50" s="62">
        <f t="shared" si="7"/>
        <v>0</v>
      </c>
      <c r="X50" s="62">
        <f t="shared" si="8"/>
        <v>0</v>
      </c>
      <c r="Y50" s="62">
        <f t="shared" si="9"/>
        <v>0</v>
      </c>
      <c r="Z50" s="62">
        <f t="shared" si="10"/>
        <v>0</v>
      </c>
      <c r="AA50" s="62">
        <f t="shared" si="11"/>
        <v>0</v>
      </c>
      <c r="AB50" s="74" t="e">
        <f t="shared" si="12"/>
        <v>#DIV/0!</v>
      </c>
      <c r="AC50" s="75" t="e">
        <f t="shared" si="13"/>
        <v>#DIV/0!</v>
      </c>
    </row>
    <row r="51" spans="1:29" x14ac:dyDescent="0.35">
      <c r="A51" s="57"/>
      <c r="B51" s="58"/>
      <c r="C51" s="59"/>
      <c r="D51" s="28"/>
      <c r="E51" s="60"/>
      <c r="F51" s="61"/>
      <c r="G51" s="61"/>
      <c r="H51" s="61"/>
      <c r="I51" s="61"/>
      <c r="J51" s="61"/>
      <c r="K51" s="61"/>
      <c r="L51" s="61"/>
      <c r="M51" s="61"/>
      <c r="N51" s="61"/>
      <c r="O51" s="61"/>
      <c r="P51" s="61"/>
      <c r="Q51" s="61"/>
      <c r="R51" s="61"/>
      <c r="S51" s="61"/>
      <c r="T51" s="61"/>
      <c r="U51" s="61"/>
      <c r="V51" s="61"/>
      <c r="W51" s="62">
        <f t="shared" si="7"/>
        <v>0</v>
      </c>
      <c r="X51" s="62">
        <f t="shared" si="8"/>
        <v>0</v>
      </c>
      <c r="Y51" s="62">
        <f t="shared" si="9"/>
        <v>0</v>
      </c>
      <c r="Z51" s="62">
        <f t="shared" si="10"/>
        <v>0</v>
      </c>
      <c r="AA51" s="62">
        <f t="shared" si="11"/>
        <v>0</v>
      </c>
      <c r="AB51" s="74" t="e">
        <f t="shared" si="12"/>
        <v>#DIV/0!</v>
      </c>
      <c r="AC51" s="75" t="e">
        <f t="shared" si="13"/>
        <v>#DIV/0!</v>
      </c>
    </row>
    <row r="52" spans="1:29" x14ac:dyDescent="0.35">
      <c r="A52" s="57"/>
      <c r="B52" s="58"/>
      <c r="C52" s="59"/>
      <c r="D52" s="28"/>
      <c r="E52" s="60"/>
      <c r="F52" s="61"/>
      <c r="G52" s="61"/>
      <c r="H52" s="61"/>
      <c r="I52" s="61"/>
      <c r="J52" s="61"/>
      <c r="K52" s="61"/>
      <c r="L52" s="61"/>
      <c r="M52" s="61"/>
      <c r="N52" s="61"/>
      <c r="O52" s="61"/>
      <c r="P52" s="61"/>
      <c r="Q52" s="61"/>
      <c r="R52" s="61"/>
      <c r="S52" s="61"/>
      <c r="T52" s="61"/>
      <c r="U52" s="61"/>
      <c r="V52" s="61"/>
      <c r="W52" s="62">
        <f t="shared" si="7"/>
        <v>0</v>
      </c>
      <c r="X52" s="62">
        <f t="shared" si="8"/>
        <v>0</v>
      </c>
      <c r="Y52" s="62">
        <f t="shared" si="9"/>
        <v>0</v>
      </c>
      <c r="Z52" s="62">
        <f t="shared" si="10"/>
        <v>0</v>
      </c>
      <c r="AA52" s="62">
        <f t="shared" si="11"/>
        <v>0</v>
      </c>
      <c r="AB52" s="74" t="e">
        <f t="shared" si="12"/>
        <v>#DIV/0!</v>
      </c>
      <c r="AC52" s="75" t="e">
        <f t="shared" si="13"/>
        <v>#DIV/0!</v>
      </c>
    </row>
    <row r="53" spans="1:29" x14ac:dyDescent="0.35">
      <c r="A53" s="57"/>
      <c r="B53" s="58"/>
      <c r="C53" s="59"/>
      <c r="D53" s="28"/>
      <c r="E53" s="60"/>
      <c r="F53" s="61"/>
      <c r="G53" s="61"/>
      <c r="H53" s="61"/>
      <c r="I53" s="61"/>
      <c r="J53" s="61"/>
      <c r="K53" s="61"/>
      <c r="L53" s="61"/>
      <c r="M53" s="61"/>
      <c r="N53" s="61"/>
      <c r="O53" s="61"/>
      <c r="P53" s="61"/>
      <c r="Q53" s="61"/>
      <c r="R53" s="61"/>
      <c r="S53" s="61"/>
      <c r="T53" s="61"/>
      <c r="U53" s="61"/>
      <c r="V53" s="61"/>
      <c r="W53" s="62">
        <f t="shared" si="7"/>
        <v>0</v>
      </c>
      <c r="X53" s="62">
        <f t="shared" si="8"/>
        <v>0</v>
      </c>
      <c r="Y53" s="62">
        <f t="shared" si="9"/>
        <v>0</v>
      </c>
      <c r="Z53" s="62">
        <f t="shared" si="10"/>
        <v>0</v>
      </c>
      <c r="AA53" s="62">
        <f t="shared" si="11"/>
        <v>0</v>
      </c>
      <c r="AB53" s="74" t="e">
        <f t="shared" si="12"/>
        <v>#DIV/0!</v>
      </c>
      <c r="AC53" s="75" t="e">
        <f t="shared" si="13"/>
        <v>#DIV/0!</v>
      </c>
    </row>
    <row r="54" spans="1:29" x14ac:dyDescent="0.35">
      <c r="A54" s="57"/>
      <c r="B54" s="58"/>
      <c r="C54" s="59"/>
      <c r="D54" s="28"/>
      <c r="E54" s="60"/>
      <c r="F54" s="61"/>
      <c r="G54" s="61"/>
      <c r="H54" s="61"/>
      <c r="I54" s="61"/>
      <c r="J54" s="61"/>
      <c r="K54" s="61"/>
      <c r="L54" s="61"/>
      <c r="M54" s="61"/>
      <c r="N54" s="61"/>
      <c r="O54" s="61"/>
      <c r="P54" s="61"/>
      <c r="Q54" s="61"/>
      <c r="R54" s="61"/>
      <c r="S54" s="61"/>
      <c r="T54" s="61"/>
      <c r="U54" s="61"/>
      <c r="V54" s="61"/>
      <c r="W54" s="62">
        <f t="shared" si="7"/>
        <v>0</v>
      </c>
      <c r="X54" s="62">
        <f t="shared" si="8"/>
        <v>0</v>
      </c>
      <c r="Y54" s="62">
        <f t="shared" si="9"/>
        <v>0</v>
      </c>
      <c r="Z54" s="62">
        <f t="shared" si="10"/>
        <v>0</v>
      </c>
      <c r="AA54" s="62">
        <f t="shared" si="11"/>
        <v>0</v>
      </c>
      <c r="AB54" s="74" t="e">
        <f t="shared" si="12"/>
        <v>#DIV/0!</v>
      </c>
      <c r="AC54" s="75" t="e">
        <f t="shared" si="13"/>
        <v>#DIV/0!</v>
      </c>
    </row>
    <row r="55" spans="1:29" x14ac:dyDescent="0.35">
      <c r="A55" s="57"/>
      <c r="B55" s="58"/>
      <c r="C55" s="59"/>
      <c r="D55" s="28"/>
      <c r="E55" s="60"/>
      <c r="F55" s="61"/>
      <c r="G55" s="61"/>
      <c r="H55" s="61"/>
      <c r="I55" s="61"/>
      <c r="J55" s="61"/>
      <c r="K55" s="61"/>
      <c r="L55" s="61"/>
      <c r="M55" s="61"/>
      <c r="N55" s="61"/>
      <c r="O55" s="61"/>
      <c r="P55" s="61"/>
      <c r="Q55" s="61"/>
      <c r="R55" s="61"/>
      <c r="S55" s="61"/>
      <c r="T55" s="61"/>
      <c r="U55" s="61"/>
      <c r="V55" s="61"/>
      <c r="W55" s="62">
        <f t="shared" si="7"/>
        <v>0</v>
      </c>
      <c r="X55" s="62">
        <f t="shared" si="8"/>
        <v>0</v>
      </c>
      <c r="Y55" s="62">
        <f t="shared" si="9"/>
        <v>0</v>
      </c>
      <c r="Z55" s="62">
        <f t="shared" si="10"/>
        <v>0</v>
      </c>
      <c r="AA55" s="62">
        <f t="shared" si="11"/>
        <v>0</v>
      </c>
      <c r="AB55" s="74" t="e">
        <f t="shared" si="12"/>
        <v>#DIV/0!</v>
      </c>
      <c r="AC55" s="75" t="e">
        <f t="shared" si="13"/>
        <v>#DIV/0!</v>
      </c>
    </row>
    <row r="56" spans="1:29" x14ac:dyDescent="0.35">
      <c r="A56" s="57"/>
      <c r="B56" s="58"/>
      <c r="C56" s="59"/>
      <c r="D56" s="28"/>
      <c r="E56" s="60"/>
      <c r="F56" s="61"/>
      <c r="G56" s="61"/>
      <c r="H56" s="61"/>
      <c r="I56" s="61"/>
      <c r="J56" s="61"/>
      <c r="K56" s="61"/>
      <c r="L56" s="61"/>
      <c r="M56" s="61"/>
      <c r="N56" s="61"/>
      <c r="O56" s="61"/>
      <c r="P56" s="61"/>
      <c r="Q56" s="61"/>
      <c r="R56" s="61"/>
      <c r="S56" s="61"/>
      <c r="T56" s="61"/>
      <c r="U56" s="61"/>
      <c r="V56" s="61"/>
      <c r="W56" s="62">
        <f t="shared" si="7"/>
        <v>0</v>
      </c>
      <c r="X56" s="62">
        <f t="shared" si="8"/>
        <v>0</v>
      </c>
      <c r="Y56" s="62">
        <f t="shared" si="9"/>
        <v>0</v>
      </c>
      <c r="Z56" s="62">
        <f t="shared" si="10"/>
        <v>0</v>
      </c>
      <c r="AA56" s="62">
        <f t="shared" si="11"/>
        <v>0</v>
      </c>
      <c r="AB56" s="74" t="e">
        <f t="shared" si="12"/>
        <v>#DIV/0!</v>
      </c>
      <c r="AC56" s="75" t="e">
        <f t="shared" si="13"/>
        <v>#DIV/0!</v>
      </c>
    </row>
    <row r="57" spans="1:29" x14ac:dyDescent="0.35">
      <c r="A57" s="57"/>
      <c r="B57" s="58"/>
      <c r="C57" s="59"/>
      <c r="D57" s="28"/>
      <c r="E57" s="60"/>
      <c r="F57" s="61"/>
      <c r="G57" s="61"/>
      <c r="H57" s="61"/>
      <c r="I57" s="61"/>
      <c r="J57" s="61"/>
      <c r="K57" s="61"/>
      <c r="L57" s="61"/>
      <c r="M57" s="61"/>
      <c r="N57" s="61"/>
      <c r="O57" s="61"/>
      <c r="P57" s="61"/>
      <c r="Q57" s="61"/>
      <c r="R57" s="61"/>
      <c r="S57" s="61"/>
      <c r="T57" s="61"/>
      <c r="U57" s="61"/>
      <c r="V57" s="61"/>
      <c r="W57" s="62">
        <f t="shared" si="7"/>
        <v>0</v>
      </c>
      <c r="X57" s="62">
        <f t="shared" si="8"/>
        <v>0</v>
      </c>
      <c r="Y57" s="62">
        <f t="shared" si="9"/>
        <v>0</v>
      </c>
      <c r="Z57" s="62">
        <f t="shared" si="10"/>
        <v>0</v>
      </c>
      <c r="AA57" s="62">
        <f t="shared" si="11"/>
        <v>0</v>
      </c>
      <c r="AB57" s="74" t="e">
        <f t="shared" si="12"/>
        <v>#DIV/0!</v>
      </c>
      <c r="AC57" s="75" t="e">
        <f t="shared" si="13"/>
        <v>#DIV/0!</v>
      </c>
    </row>
    <row r="58" spans="1:29" x14ac:dyDescent="0.35">
      <c r="A58" s="57"/>
      <c r="B58" s="58"/>
      <c r="C58" s="59"/>
      <c r="D58" s="28"/>
      <c r="E58" s="60"/>
      <c r="F58" s="61"/>
      <c r="G58" s="61"/>
      <c r="H58" s="61"/>
      <c r="I58" s="61"/>
      <c r="J58" s="61"/>
      <c r="K58" s="61"/>
      <c r="L58" s="61"/>
      <c r="M58" s="61"/>
      <c r="N58" s="61"/>
      <c r="O58" s="61"/>
      <c r="P58" s="61"/>
      <c r="Q58" s="61"/>
      <c r="R58" s="61"/>
      <c r="S58" s="61"/>
      <c r="T58" s="61"/>
      <c r="U58" s="61"/>
      <c r="V58" s="61"/>
      <c r="W58" s="62">
        <f t="shared" si="7"/>
        <v>0</v>
      </c>
      <c r="X58" s="62">
        <f t="shared" si="8"/>
        <v>0</v>
      </c>
      <c r="Y58" s="62">
        <f t="shared" si="9"/>
        <v>0</v>
      </c>
      <c r="Z58" s="62">
        <f t="shared" si="10"/>
        <v>0</v>
      </c>
      <c r="AA58" s="62">
        <f t="shared" si="11"/>
        <v>0</v>
      </c>
      <c r="AB58" s="74" t="e">
        <f t="shared" si="12"/>
        <v>#DIV/0!</v>
      </c>
      <c r="AC58" s="75" t="e">
        <f t="shared" si="13"/>
        <v>#DIV/0!</v>
      </c>
    </row>
    <row r="59" spans="1:29" x14ac:dyDescent="0.35">
      <c r="A59" s="57"/>
      <c r="B59" s="58"/>
      <c r="C59" s="59"/>
      <c r="D59" s="28"/>
      <c r="E59" s="60"/>
      <c r="F59" s="61"/>
      <c r="G59" s="61"/>
      <c r="H59" s="61"/>
      <c r="I59" s="61"/>
      <c r="J59" s="61"/>
      <c r="K59" s="61"/>
      <c r="L59" s="61"/>
      <c r="M59" s="61"/>
      <c r="N59" s="61"/>
      <c r="O59" s="61"/>
      <c r="P59" s="61"/>
      <c r="Q59" s="61"/>
      <c r="R59" s="61"/>
      <c r="S59" s="61"/>
      <c r="T59" s="61"/>
      <c r="U59" s="61"/>
      <c r="V59" s="61"/>
      <c r="W59" s="62">
        <f t="shared" si="7"/>
        <v>0</v>
      </c>
      <c r="X59" s="62">
        <f t="shared" si="8"/>
        <v>0</v>
      </c>
      <c r="Y59" s="62">
        <f t="shared" si="9"/>
        <v>0</v>
      </c>
      <c r="Z59" s="62">
        <f t="shared" si="10"/>
        <v>0</v>
      </c>
      <c r="AA59" s="62">
        <f t="shared" si="11"/>
        <v>0</v>
      </c>
      <c r="AB59" s="74" t="e">
        <f t="shared" si="12"/>
        <v>#DIV/0!</v>
      </c>
      <c r="AC59" s="75" t="e">
        <f t="shared" si="13"/>
        <v>#DIV/0!</v>
      </c>
    </row>
  </sheetData>
  <conditionalFormatting sqref="AB29:AB59">
    <cfRule type="cellIs" dxfId="651" priority="49" operator="equal">
      <formula>"Verify the value in PR18"</formula>
    </cfRule>
  </conditionalFormatting>
  <conditionalFormatting sqref="C11:C59">
    <cfRule type="cellIs" priority="29" stopIfTrue="1" operator="equal">
      <formula>5</formula>
    </cfRule>
    <cfRule type="cellIs" priority="30" stopIfTrue="1" operator="equal">
      <formula>6</formula>
    </cfRule>
    <cfRule type="cellIs" priority="31" stopIfTrue="1" operator="equal">
      <formula>4</formula>
    </cfRule>
    <cfRule type="cellIs" priority="32" stopIfTrue="1" operator="equal">
      <formula>3</formula>
    </cfRule>
    <cfRule type="cellIs" priority="33" stopIfTrue="1" operator="equal">
      <formula>2</formula>
    </cfRule>
    <cfRule type="cellIs" priority="34" stopIfTrue="1" operator="equal">
      <formula>1</formula>
    </cfRule>
    <cfRule type="containsBlanks" dxfId="650" priority="35" stopIfTrue="1">
      <formula>LEN(TRIM(C11))=0</formula>
    </cfRule>
    <cfRule type="cellIs" dxfId="649" priority="36" operator="notBetween">
      <formula>1</formula>
      <formula>6</formula>
    </cfRule>
  </conditionalFormatting>
  <conditionalFormatting sqref="C11:C59">
    <cfRule type="cellIs" dxfId="648" priority="37" operator="between">
      <formula>1.0000001</formula>
      <formula>1.9999999</formula>
    </cfRule>
    <cfRule type="cellIs" dxfId="647" priority="38" operator="between">
      <formula>2.0000001</formula>
      <formula>2.9999999</formula>
    </cfRule>
    <cfRule type="cellIs" dxfId="646" priority="39" operator="between">
      <formula>3.0000001</formula>
      <formula>3.9999999</formula>
    </cfRule>
    <cfRule type="cellIs" dxfId="645" priority="40" operator="between">
      <formula>4.0000001</formula>
      <formula>4.9999999</formula>
    </cfRule>
    <cfRule type="cellIs" dxfId="644" priority="41" operator="between">
      <formula>5.0000001</formula>
      <formula>5.9999999</formula>
    </cfRule>
  </conditionalFormatting>
  <conditionalFormatting sqref="B11:B59">
    <cfRule type="containsBlanks" priority="24" stopIfTrue="1">
      <formula>LEN(TRIM(B11))=0</formula>
    </cfRule>
    <cfRule type="expression" dxfId="643" priority="25" stopIfTrue="1">
      <formula>ISNUMBER(B11)=FALSE</formula>
    </cfRule>
    <cfRule type="cellIs" dxfId="642" priority="26" stopIfTrue="1" operator="lessThan">
      <formula>2018</formula>
    </cfRule>
    <cfRule type="cellIs" dxfId="641" priority="27" stopIfTrue="1" operator="greaterThan">
      <formula>2020</formula>
    </cfRule>
    <cfRule type="expression" dxfId="640" priority="28" stopIfTrue="1">
      <formula>MOD(B11,1)&lt;&gt;0</formula>
    </cfRule>
  </conditionalFormatting>
  <conditionalFormatting sqref="F11:N59">
    <cfRule type="containsBlanks" priority="21" stopIfTrue="1">
      <formula>LEN(TRIM(F11))=0</formula>
    </cfRule>
    <cfRule type="expression" dxfId="639" priority="22" stopIfTrue="1">
      <formula>ISNUMBER(F11)=FALSE</formula>
    </cfRule>
    <cfRule type="cellIs" dxfId="638" priority="23" stopIfTrue="1" operator="lessThan">
      <formula>0</formula>
    </cfRule>
  </conditionalFormatting>
  <conditionalFormatting sqref="O11:O59">
    <cfRule type="containsBlanks" priority="19" stopIfTrue="1">
      <formula>LEN(TRIM(O11))=0</formula>
    </cfRule>
    <cfRule type="expression" dxfId="637" priority="20" stopIfTrue="1">
      <formula>ISNUMBER(O11)=FALSE</formula>
    </cfRule>
  </conditionalFormatting>
  <conditionalFormatting sqref="P11:Q59">
    <cfRule type="containsBlanks" priority="16" stopIfTrue="1">
      <formula>LEN(TRIM(P11))=0</formula>
    </cfRule>
    <cfRule type="expression" dxfId="636" priority="17" stopIfTrue="1">
      <formula>ISNUMBER(P11)=FALSE</formula>
    </cfRule>
    <cfRule type="cellIs" dxfId="635" priority="18" stopIfTrue="1" operator="lessThan">
      <formula>0</formula>
    </cfRule>
  </conditionalFormatting>
  <conditionalFormatting sqref="S11:V59">
    <cfRule type="containsBlanks" priority="13" stopIfTrue="1">
      <formula>LEN(TRIM(S11))=0</formula>
    </cfRule>
    <cfRule type="expression" dxfId="634" priority="14" stopIfTrue="1">
      <formula>ISNUMBER(S11)=FALSE</formula>
    </cfRule>
    <cfRule type="cellIs" dxfId="633" priority="15" stopIfTrue="1" operator="lessThan">
      <formula>0</formula>
    </cfRule>
  </conditionalFormatting>
  <conditionalFormatting sqref="R11:R59">
    <cfRule type="containsBlanks" priority="10" stopIfTrue="1">
      <formula>LEN(TRIM(R11))=0</formula>
    </cfRule>
    <cfRule type="expression" dxfId="632" priority="11" stopIfTrue="1">
      <formula>ISNUMBER(R11)=FALSE</formula>
    </cfRule>
    <cfRule type="cellIs" dxfId="631" priority="12" stopIfTrue="1" operator="greaterThan">
      <formula>0</formula>
    </cfRule>
  </conditionalFormatting>
  <conditionalFormatting sqref="AB11:AC28">
    <cfRule type="cellIs" dxfId="630" priority="4" operator="equal">
      <formula>"Verify the value in PR18"</formula>
    </cfRule>
  </conditionalFormatting>
  <conditionalFormatting sqref="E11:E59">
    <cfRule type="cellIs" dxfId="629" priority="3" operator="lessThan">
      <formula>0</formula>
    </cfRule>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84A3-E999-4666-8EA1-4FED35BD25D0}">
  <dimension ref="A1:G29"/>
  <sheetViews>
    <sheetView zoomScale="140" zoomScaleNormal="140" workbookViewId="0">
      <selection activeCell="F10" sqref="F10"/>
    </sheetView>
  </sheetViews>
  <sheetFormatPr defaultColWidth="9.1796875" defaultRowHeight="14.5" x14ac:dyDescent="0.35"/>
  <cols>
    <col min="1" max="3" width="20.7265625" customWidth="1"/>
    <col min="4" max="4" width="25.1796875" customWidth="1"/>
    <col min="5" max="5" width="20.7265625" customWidth="1"/>
    <col min="6" max="6" width="23" customWidth="1"/>
    <col min="7" max="7" width="25.1796875" customWidth="1"/>
  </cols>
  <sheetData>
    <row r="1" spans="1:7" ht="18.5" x14ac:dyDescent="0.35">
      <c r="A1" s="13" t="s">
        <v>113</v>
      </c>
      <c r="B1" s="1"/>
    </row>
    <row r="2" spans="1:7" ht="15" customHeight="1" x14ac:dyDescent="0.35">
      <c r="A2" s="13"/>
      <c r="B2" s="1"/>
    </row>
    <row r="3" spans="1:7" x14ac:dyDescent="0.35">
      <c r="A3" s="22"/>
      <c r="B3" s="1"/>
    </row>
    <row r="4" spans="1:7" x14ac:dyDescent="0.35">
      <c r="A4" s="23" t="s">
        <v>53</v>
      </c>
      <c r="B4" s="1"/>
    </row>
    <row r="5" spans="1:7" x14ac:dyDescent="0.35">
      <c r="A5" s="107" t="s">
        <v>298</v>
      </c>
      <c r="B5" s="1"/>
    </row>
    <row r="6" spans="1:7" x14ac:dyDescent="0.35">
      <c r="A6" s="24" t="s">
        <v>54</v>
      </c>
      <c r="B6" s="1"/>
    </row>
    <row r="7" spans="1:7" ht="18.5" x14ac:dyDescent="0.35">
      <c r="A7" s="13"/>
      <c r="B7" s="1"/>
    </row>
    <row r="8" spans="1:7" x14ac:dyDescent="0.35">
      <c r="A8" s="26" t="s">
        <v>114</v>
      </c>
      <c r="B8" s="26" t="s">
        <v>115</v>
      </c>
      <c r="C8" s="26" t="s">
        <v>116</v>
      </c>
      <c r="D8" s="26" t="s">
        <v>117</v>
      </c>
      <c r="E8" s="26" t="s">
        <v>118</v>
      </c>
      <c r="F8" s="26" t="s">
        <v>119</v>
      </c>
      <c r="G8" s="26" t="s">
        <v>120</v>
      </c>
    </row>
    <row r="9" spans="1:7" x14ac:dyDescent="0.35">
      <c r="A9" s="26" t="s">
        <v>83</v>
      </c>
      <c r="B9" s="26" t="s">
        <v>84</v>
      </c>
      <c r="C9" s="26" t="s">
        <v>83</v>
      </c>
      <c r="D9" s="26" t="s">
        <v>83</v>
      </c>
      <c r="E9" s="27" t="s">
        <v>85</v>
      </c>
      <c r="F9" s="27" t="s">
        <v>86</v>
      </c>
      <c r="G9" s="27" t="s">
        <v>86</v>
      </c>
    </row>
    <row r="10" spans="1:7" ht="29" x14ac:dyDescent="0.35">
      <c r="A10" s="46" t="s">
        <v>43</v>
      </c>
      <c r="B10" s="45" t="s">
        <v>89</v>
      </c>
      <c r="C10" s="45" t="s">
        <v>28</v>
      </c>
      <c r="D10" s="45" t="s">
        <v>272</v>
      </c>
      <c r="E10" s="54" t="s">
        <v>90</v>
      </c>
      <c r="F10" s="54" t="s">
        <v>109</v>
      </c>
      <c r="G10" s="63" t="s">
        <v>121</v>
      </c>
    </row>
    <row r="11" spans="1:7" x14ac:dyDescent="0.35">
      <c r="A11" s="43"/>
      <c r="B11" s="20"/>
      <c r="C11" s="124"/>
      <c r="D11" s="43"/>
      <c r="E11" s="170"/>
      <c r="F11" s="168"/>
      <c r="G11" s="167"/>
    </row>
    <row r="12" spans="1:7" x14ac:dyDescent="0.35">
      <c r="A12" s="43"/>
      <c r="B12" s="20" t="s">
        <v>359</v>
      </c>
      <c r="C12" s="124"/>
      <c r="D12" s="43"/>
      <c r="E12" s="170"/>
      <c r="F12" s="168"/>
      <c r="G12" s="167"/>
    </row>
    <row r="13" spans="1:7" x14ac:dyDescent="0.35">
      <c r="A13" s="43"/>
      <c r="B13" s="20"/>
      <c r="C13" s="124"/>
      <c r="D13" s="43"/>
      <c r="E13" s="170"/>
      <c r="F13" s="168"/>
      <c r="G13" s="167"/>
    </row>
    <row r="14" spans="1:7" x14ac:dyDescent="0.35">
      <c r="A14" s="43"/>
      <c r="B14" s="20"/>
      <c r="C14" s="124"/>
      <c r="D14" s="43"/>
      <c r="E14" s="170"/>
      <c r="F14" s="168"/>
      <c r="G14" s="167"/>
    </row>
    <row r="15" spans="1:7" x14ac:dyDescent="0.35">
      <c r="A15" s="43"/>
      <c r="B15" s="20"/>
      <c r="C15" s="124"/>
      <c r="D15" s="43"/>
      <c r="E15" s="170"/>
      <c r="F15" s="168"/>
      <c r="G15" s="167"/>
    </row>
    <row r="16" spans="1:7" x14ac:dyDescent="0.35">
      <c r="A16" s="43"/>
      <c r="B16" s="20"/>
      <c r="C16" s="124"/>
      <c r="D16" s="43"/>
      <c r="E16" s="170"/>
      <c r="F16" s="168"/>
      <c r="G16" s="167"/>
    </row>
    <row r="17" spans="1:7" x14ac:dyDescent="0.35">
      <c r="A17" s="43"/>
      <c r="B17" s="20"/>
      <c r="C17" s="124"/>
      <c r="D17" s="43"/>
      <c r="E17" s="170"/>
      <c r="F17" s="168"/>
      <c r="G17" s="167"/>
    </row>
    <row r="18" spans="1:7" x14ac:dyDescent="0.35">
      <c r="A18" s="43"/>
      <c r="B18" s="20"/>
      <c r="C18" s="124"/>
      <c r="D18" s="43"/>
      <c r="E18" s="170"/>
      <c r="F18" s="168"/>
      <c r="G18" s="167"/>
    </row>
    <row r="19" spans="1:7" x14ac:dyDescent="0.35">
      <c r="A19" s="43"/>
      <c r="B19" s="20"/>
      <c r="C19" s="124"/>
      <c r="D19" s="43"/>
      <c r="E19" s="170"/>
      <c r="F19" s="168"/>
      <c r="G19" s="167"/>
    </row>
    <row r="20" spans="1:7" x14ac:dyDescent="0.35">
      <c r="A20" s="43"/>
      <c r="B20" s="20"/>
      <c r="C20" s="124"/>
      <c r="D20" s="43"/>
      <c r="E20" s="170"/>
      <c r="F20" s="168"/>
      <c r="G20" s="167"/>
    </row>
    <row r="21" spans="1:7" x14ac:dyDescent="0.35">
      <c r="A21" s="43"/>
      <c r="B21" s="20"/>
      <c r="C21" s="124"/>
      <c r="D21" s="43"/>
      <c r="E21" s="170"/>
      <c r="F21" s="168"/>
      <c r="G21" s="167"/>
    </row>
    <row r="22" spans="1:7" x14ac:dyDescent="0.35">
      <c r="A22" s="43"/>
      <c r="B22" s="20"/>
      <c r="C22" s="124"/>
      <c r="D22" s="43"/>
      <c r="E22" s="170"/>
      <c r="F22" s="168"/>
      <c r="G22" s="167"/>
    </row>
    <row r="23" spans="1:7" x14ac:dyDescent="0.35">
      <c r="A23" s="43"/>
      <c r="B23" s="20"/>
      <c r="C23" s="124"/>
      <c r="D23" s="43"/>
      <c r="E23" s="170"/>
      <c r="F23" s="168"/>
      <c r="G23" s="167"/>
    </row>
    <row r="24" spans="1:7" x14ac:dyDescent="0.35">
      <c r="A24" s="43"/>
      <c r="B24" s="20"/>
      <c r="C24" s="124"/>
      <c r="D24" s="43"/>
      <c r="E24" s="170"/>
      <c r="F24" s="168"/>
      <c r="G24" s="167"/>
    </row>
    <row r="25" spans="1:7" x14ac:dyDescent="0.35">
      <c r="A25" s="43"/>
      <c r="B25" s="20"/>
      <c r="C25" s="124"/>
      <c r="D25" s="43"/>
      <c r="E25" s="170"/>
      <c r="F25" s="168"/>
      <c r="G25" s="167"/>
    </row>
    <row r="26" spans="1:7" x14ac:dyDescent="0.35">
      <c r="A26" s="43"/>
      <c r="B26" s="20"/>
      <c r="C26" s="124"/>
      <c r="D26" s="43"/>
      <c r="E26" s="170"/>
      <c r="F26" s="168"/>
      <c r="G26" s="167"/>
    </row>
    <row r="27" spans="1:7" x14ac:dyDescent="0.35">
      <c r="A27" s="43"/>
      <c r="B27" s="20"/>
      <c r="C27" s="124"/>
      <c r="D27" s="43"/>
      <c r="E27" s="170"/>
      <c r="F27" s="168"/>
      <c r="G27" s="167"/>
    </row>
    <row r="28" spans="1:7" x14ac:dyDescent="0.35">
      <c r="A28" s="43"/>
      <c r="B28" s="58"/>
      <c r="C28" s="124"/>
      <c r="D28" s="43"/>
      <c r="E28" s="171"/>
      <c r="F28" s="169"/>
      <c r="G28" s="167"/>
    </row>
    <row r="29" spans="1:7" x14ac:dyDescent="0.35">
      <c r="A29" s="43"/>
      <c r="B29" s="20"/>
      <c r="C29" s="124"/>
      <c r="D29" s="43"/>
      <c r="E29" s="170"/>
      <c r="F29" s="168"/>
      <c r="G29" s="167"/>
    </row>
  </sheetData>
  <conditionalFormatting sqref="E11:F29">
    <cfRule type="containsBlanks" dxfId="594" priority="74" stopIfTrue="1">
      <formula>LEN(TRIM(E11))=0</formula>
    </cfRule>
    <cfRule type="expression" dxfId="593" priority="75" stopIfTrue="1">
      <formula>ISNUMBER(E11)=FALSE</formula>
    </cfRule>
    <cfRule type="cellIs" dxfId="592" priority="76" stopIfTrue="1" operator="lessThanOrEqual">
      <formula>0</formula>
    </cfRule>
    <cfRule type="expression" dxfId="591" priority="77" stopIfTrue="1">
      <formula>MOD(E11,1)&lt;&gt;0</formula>
    </cfRule>
  </conditionalFormatting>
  <conditionalFormatting sqref="B11:B29">
    <cfRule type="containsBlanks" priority="53" stopIfTrue="1">
      <formula>LEN(TRIM(B11))=0</formula>
    </cfRule>
    <cfRule type="expression" dxfId="590" priority="54" stopIfTrue="1">
      <formula>ISNUMBER(B11)=FALSE</formula>
    </cfRule>
    <cfRule type="cellIs" dxfId="589" priority="55" stopIfTrue="1" operator="lessThan">
      <formula>2018</formula>
    </cfRule>
    <cfRule type="cellIs" dxfId="588" priority="56" stopIfTrue="1" operator="greaterThan">
      <formula>2020</formula>
    </cfRule>
    <cfRule type="expression" dxfId="587" priority="57" stopIfTrue="1">
      <formula>MOD(B11,1)&lt;&gt;0</formula>
    </cfRule>
  </conditionalFormatting>
  <conditionalFormatting sqref="G11:G29">
    <cfRule type="containsBlanks" priority="50" stopIfTrue="1">
      <formula>LEN(TRIM(G11))=0</formula>
    </cfRule>
    <cfRule type="expression" dxfId="586" priority="51" stopIfTrue="1">
      <formula>ISNUMBER(G11)=FALSE</formula>
    </cfRule>
    <cfRule type="cellIs" dxfId="585" priority="52" stopIfTrue="1" operator="lessThan">
      <formula>0</formula>
    </cfRule>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B04B2-1C57-4C1B-9C9B-E90F841F12BB}">
  <dimension ref="A1:F19"/>
  <sheetViews>
    <sheetView zoomScale="130" zoomScaleNormal="130" workbookViewId="0">
      <selection activeCell="C14" sqref="C14"/>
    </sheetView>
  </sheetViews>
  <sheetFormatPr defaultColWidth="9.1796875" defaultRowHeight="14.5" x14ac:dyDescent="0.35"/>
  <cols>
    <col min="1" max="1" width="45" customWidth="1"/>
    <col min="2" max="2" width="40.54296875" bestFit="1" customWidth="1"/>
    <col min="3" max="3" width="28.453125" customWidth="1"/>
    <col min="4" max="6" width="28.26953125" customWidth="1"/>
  </cols>
  <sheetData>
    <row r="1" spans="1:6" ht="18.5" x14ac:dyDescent="0.35">
      <c r="A1" s="32" t="s">
        <v>122</v>
      </c>
      <c r="B1" s="32"/>
      <c r="C1" s="32"/>
      <c r="D1" s="32"/>
    </row>
    <row r="2" spans="1:6" ht="15" customHeight="1" x14ac:dyDescent="0.35">
      <c r="A2" s="32"/>
      <c r="B2" s="32"/>
      <c r="C2" s="32"/>
      <c r="D2" s="32"/>
    </row>
    <row r="3" spans="1:6" x14ac:dyDescent="0.35">
      <c r="A3" s="22"/>
    </row>
    <row r="4" spans="1:6" x14ac:dyDescent="0.35">
      <c r="A4" s="23" t="s">
        <v>53</v>
      </c>
    </row>
    <row r="5" spans="1:6" x14ac:dyDescent="0.35">
      <c r="A5" s="107" t="s">
        <v>298</v>
      </c>
    </row>
    <row r="6" spans="1:6" x14ac:dyDescent="0.35">
      <c r="A6" s="24" t="s">
        <v>54</v>
      </c>
    </row>
    <row r="7" spans="1:6" x14ac:dyDescent="0.35">
      <c r="A7" s="25"/>
    </row>
    <row r="8" spans="1:6" x14ac:dyDescent="0.35">
      <c r="A8" s="33" t="s">
        <v>123</v>
      </c>
      <c r="B8" s="33" t="s">
        <v>124</v>
      </c>
      <c r="C8" s="33" t="s">
        <v>125</v>
      </c>
      <c r="D8" s="33" t="s">
        <v>126</v>
      </c>
      <c r="E8" s="33" t="s">
        <v>276</v>
      </c>
      <c r="F8" s="33" t="s">
        <v>277</v>
      </c>
    </row>
    <row r="9" spans="1:6" x14ac:dyDescent="0.35">
      <c r="A9" s="26" t="s">
        <v>83</v>
      </c>
      <c r="B9" s="47" t="s">
        <v>83</v>
      </c>
      <c r="C9" s="33" t="s">
        <v>85</v>
      </c>
      <c r="D9" s="33" t="s">
        <v>85</v>
      </c>
      <c r="E9" s="33" t="s">
        <v>85</v>
      </c>
      <c r="F9" s="33" t="s">
        <v>85</v>
      </c>
    </row>
    <row r="10" spans="1:6" x14ac:dyDescent="0.35">
      <c r="A10" s="46" t="s">
        <v>43</v>
      </c>
      <c r="B10" s="45" t="s">
        <v>127</v>
      </c>
      <c r="C10" s="54" t="s">
        <v>128</v>
      </c>
      <c r="D10" s="65" t="s">
        <v>129</v>
      </c>
      <c r="E10" s="65" t="s">
        <v>274</v>
      </c>
      <c r="F10" s="65" t="s">
        <v>275</v>
      </c>
    </row>
    <row r="11" spans="1:6" x14ac:dyDescent="0.35">
      <c r="A11" s="172"/>
      <c r="B11" s="134"/>
      <c r="C11" s="128"/>
      <c r="D11" s="128"/>
      <c r="E11" s="128"/>
      <c r="F11" s="128"/>
    </row>
    <row r="12" spans="1:6" x14ac:dyDescent="0.35">
      <c r="A12" s="172"/>
      <c r="B12" s="134"/>
      <c r="C12" s="129"/>
      <c r="D12" s="128"/>
      <c r="E12" s="128"/>
      <c r="F12" s="128"/>
    </row>
    <row r="13" spans="1:6" x14ac:dyDescent="0.35">
      <c r="A13" s="172"/>
      <c r="B13" s="134"/>
      <c r="C13" s="129"/>
      <c r="D13" s="128"/>
      <c r="E13" s="128"/>
      <c r="F13" s="128"/>
    </row>
    <row r="14" spans="1:6" x14ac:dyDescent="0.35">
      <c r="A14" s="172"/>
      <c r="B14" s="134"/>
      <c r="C14" s="129"/>
      <c r="D14" s="128"/>
      <c r="E14" s="128"/>
      <c r="F14" s="128"/>
    </row>
    <row r="15" spans="1:6" x14ac:dyDescent="0.35">
      <c r="A15" s="172"/>
      <c r="B15" s="134"/>
      <c r="C15" s="29"/>
      <c r="D15" s="128"/>
      <c r="E15" s="128"/>
      <c r="F15" s="128"/>
    </row>
    <row r="16" spans="1:6" x14ac:dyDescent="0.35">
      <c r="A16" s="172"/>
      <c r="B16" s="135"/>
      <c r="C16" s="129"/>
      <c r="D16" s="128"/>
      <c r="E16" s="128"/>
      <c r="F16" s="128"/>
    </row>
    <row r="17" spans="1:6" x14ac:dyDescent="0.35">
      <c r="A17" s="172"/>
      <c r="B17" s="134"/>
      <c r="C17" s="29"/>
      <c r="D17" s="128"/>
      <c r="E17" s="128"/>
      <c r="F17" s="128"/>
    </row>
    <row r="18" spans="1:6" x14ac:dyDescent="0.35">
      <c r="A18" s="172"/>
      <c r="B18" s="136"/>
      <c r="C18" s="129"/>
      <c r="D18" s="128"/>
      <c r="E18" s="128"/>
      <c r="F18" s="128"/>
    </row>
    <row r="19" spans="1:6" x14ac:dyDescent="0.35">
      <c r="A19" s="172"/>
      <c r="B19" s="136"/>
      <c r="C19" s="60"/>
      <c r="D19" s="128"/>
      <c r="E19" s="128"/>
      <c r="F19" s="128"/>
    </row>
  </sheetData>
  <conditionalFormatting sqref="C11:C19">
    <cfRule type="containsBlanks" dxfId="573" priority="37" stopIfTrue="1">
      <formula>LEN(TRIM(C11))=0</formula>
    </cfRule>
    <cfRule type="expression" dxfId="572" priority="38" stopIfTrue="1">
      <formula>ISNUMBER(C11)=FALSE</formula>
    </cfRule>
    <cfRule type="cellIs" dxfId="571" priority="39" stopIfTrue="1" operator="lessThan">
      <formula>0</formula>
    </cfRule>
    <cfRule type="expression" dxfId="570" priority="40" stopIfTrue="1">
      <formula>MOD(C11,1)&lt;&gt;0</formula>
    </cfRule>
  </conditionalFormatting>
  <conditionalFormatting sqref="D11:F19">
    <cfRule type="containsBlanks" dxfId="569" priority="1" stopIfTrue="1">
      <formula>LEN(TRIM(D11))=0</formula>
    </cfRule>
    <cfRule type="expression" dxfId="568" priority="2" stopIfTrue="1">
      <formula>ISNUMBER(D11)=FALSE</formula>
    </cfRule>
    <cfRule type="cellIs" dxfId="567" priority="3" stopIfTrue="1" operator="lessThan">
      <formula>0</formula>
    </cfRule>
    <cfRule type="expression" dxfId="566" priority="4" stopIfTrue="1">
      <formula>MOD(D11,1)&lt;&gt;0</formula>
    </cfRule>
  </conditionalFormatting>
  <dataValidations count="1">
    <dataValidation type="whole" allowBlank="1" showInputMessage="1" showErrorMessage="1" error="Use assigned Insurer Code (201-208) as listed in Reference Tables tab." sqref="A11:A19" xr:uid="{E4D8E23A-D84D-4922-B2DE-B8E16446C234}">
      <formula1>201</formula1>
      <formula2>208</formula2>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EC296-A3C5-43B6-8E06-05D8A836297F}">
  <dimension ref="A1:XEX28"/>
  <sheetViews>
    <sheetView zoomScale="130" zoomScaleNormal="130" workbookViewId="0">
      <selection activeCell="C16" sqref="C16"/>
    </sheetView>
  </sheetViews>
  <sheetFormatPr defaultColWidth="9.1796875" defaultRowHeight="14.5" x14ac:dyDescent="0.35"/>
  <cols>
    <col min="1" max="1" width="32" customWidth="1"/>
    <col min="2" max="2" width="22.26953125" customWidth="1"/>
    <col min="3" max="3" width="24.54296875" customWidth="1"/>
    <col min="4" max="4" width="31.81640625" customWidth="1"/>
    <col min="5" max="5" width="30" customWidth="1"/>
    <col min="6" max="6" width="38.453125" customWidth="1"/>
    <col min="7" max="7" width="29.453125" customWidth="1"/>
  </cols>
  <sheetData>
    <row r="1" spans="1:16378" s="35" customFormat="1" ht="18.5" x14ac:dyDescent="0.35">
      <c r="A1" s="32" t="s">
        <v>130</v>
      </c>
      <c r="B1" s="32"/>
      <c r="C1" s="32"/>
      <c r="D1" s="32"/>
      <c r="E1" s="32"/>
      <c r="F1" s="32"/>
      <c r="G1" s="32"/>
      <c r="H1" s="32"/>
      <c r="I1" s="32"/>
      <c r="J1" s="32"/>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c r="BN1" s="186"/>
      <c r="BO1" s="186"/>
      <c r="BP1" s="186"/>
      <c r="BQ1" s="186"/>
      <c r="BR1" s="186"/>
      <c r="BS1" s="186"/>
      <c r="BT1" s="186"/>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Y1" s="186"/>
      <c r="CZ1" s="186"/>
      <c r="DA1" s="186"/>
      <c r="DB1" s="186"/>
      <c r="DC1" s="186"/>
      <c r="DD1" s="186"/>
      <c r="DE1" s="186"/>
      <c r="DF1" s="186"/>
      <c r="DG1" s="186"/>
      <c r="DH1" s="186"/>
      <c r="DI1" s="186"/>
      <c r="DJ1" s="186"/>
      <c r="DK1" s="186"/>
      <c r="DL1" s="186"/>
      <c r="DM1" s="186"/>
      <c r="DN1" s="186"/>
      <c r="DO1" s="186"/>
      <c r="DP1" s="186"/>
      <c r="DQ1" s="186"/>
      <c r="DR1" s="186"/>
      <c r="DS1" s="186"/>
      <c r="DT1" s="186"/>
      <c r="DU1" s="186"/>
      <c r="DV1" s="186"/>
      <c r="DW1" s="186"/>
      <c r="DX1" s="186"/>
      <c r="DY1" s="186"/>
      <c r="DZ1" s="186"/>
      <c r="EA1" s="186"/>
      <c r="EB1" s="186"/>
      <c r="EC1" s="186"/>
      <c r="ED1" s="186"/>
      <c r="EE1" s="186"/>
      <c r="EF1" s="186"/>
      <c r="EG1" s="186"/>
      <c r="EH1" s="186"/>
      <c r="EI1" s="186"/>
      <c r="EJ1" s="186"/>
      <c r="EK1" s="186"/>
      <c r="EL1" s="186"/>
      <c r="EM1" s="186"/>
      <c r="EN1" s="186"/>
      <c r="EO1" s="186"/>
      <c r="EP1" s="186"/>
      <c r="EQ1" s="186"/>
      <c r="ER1" s="186"/>
      <c r="ES1" s="186"/>
      <c r="ET1" s="186"/>
      <c r="EU1" s="186"/>
      <c r="EV1" s="186"/>
      <c r="EW1" s="186"/>
      <c r="EX1" s="186"/>
      <c r="EY1" s="186"/>
      <c r="EZ1" s="186"/>
      <c r="FA1" s="186"/>
      <c r="FB1" s="186"/>
      <c r="FC1" s="186"/>
      <c r="FD1" s="186"/>
      <c r="FE1" s="186"/>
      <c r="FF1" s="186"/>
      <c r="FG1" s="186"/>
      <c r="FH1" s="186"/>
      <c r="FI1" s="186"/>
      <c r="FJ1" s="186"/>
      <c r="FK1" s="186"/>
      <c r="FL1" s="186"/>
      <c r="FM1" s="186"/>
      <c r="FN1" s="186"/>
      <c r="FO1" s="186"/>
      <c r="FP1" s="186"/>
      <c r="FQ1" s="186"/>
      <c r="FR1" s="186"/>
      <c r="FS1" s="186"/>
      <c r="FT1" s="186"/>
      <c r="FU1" s="186"/>
      <c r="FV1" s="186"/>
      <c r="FW1" s="186"/>
      <c r="FX1" s="186"/>
      <c r="FY1" s="186"/>
      <c r="FZ1" s="186"/>
      <c r="GA1" s="186"/>
      <c r="GB1" s="186"/>
      <c r="GC1" s="186"/>
      <c r="GD1" s="186"/>
      <c r="GE1" s="186"/>
      <c r="GF1" s="186"/>
      <c r="GG1" s="186"/>
      <c r="GH1" s="186"/>
      <c r="GI1" s="186"/>
      <c r="GJ1" s="186"/>
      <c r="GK1" s="186"/>
      <c r="GL1" s="186"/>
      <c r="GM1" s="186"/>
      <c r="GN1" s="186"/>
      <c r="GO1" s="186"/>
      <c r="GP1" s="186"/>
      <c r="GQ1" s="186"/>
      <c r="GR1" s="186"/>
      <c r="GS1" s="186"/>
      <c r="GT1" s="186"/>
      <c r="GU1" s="186"/>
      <c r="GV1" s="186"/>
      <c r="GW1" s="186"/>
      <c r="GX1" s="186"/>
      <c r="GY1" s="186"/>
      <c r="GZ1" s="186"/>
      <c r="HA1" s="186"/>
      <c r="HB1" s="186"/>
      <c r="HC1" s="186"/>
      <c r="HD1" s="186"/>
      <c r="HE1" s="186"/>
      <c r="HF1" s="186"/>
      <c r="HG1" s="186"/>
      <c r="HH1" s="186"/>
      <c r="HI1" s="186"/>
      <c r="HJ1" s="186"/>
      <c r="HK1" s="186"/>
      <c r="HL1" s="186"/>
      <c r="HM1" s="186"/>
      <c r="HN1" s="186"/>
      <c r="HO1" s="186"/>
      <c r="HP1" s="186"/>
      <c r="HQ1" s="186"/>
      <c r="HR1" s="186"/>
      <c r="HS1" s="186"/>
      <c r="HT1" s="186"/>
      <c r="HU1" s="186"/>
      <c r="HV1" s="186"/>
      <c r="HW1" s="186"/>
      <c r="HX1" s="186"/>
      <c r="HY1" s="186"/>
      <c r="HZ1" s="186"/>
      <c r="IA1" s="186"/>
      <c r="IB1" s="186"/>
      <c r="IC1" s="186"/>
      <c r="ID1" s="186"/>
      <c r="IE1" s="186"/>
      <c r="IF1" s="186"/>
      <c r="IG1" s="186"/>
      <c r="IH1" s="186"/>
      <c r="II1" s="186"/>
      <c r="IJ1" s="186"/>
      <c r="IK1" s="186"/>
      <c r="IL1" s="186"/>
      <c r="IM1" s="186"/>
      <c r="IN1" s="186"/>
      <c r="IO1" s="186"/>
      <c r="IP1" s="186"/>
      <c r="IQ1" s="186"/>
      <c r="IR1" s="186"/>
      <c r="IS1" s="186"/>
      <c r="IT1" s="186"/>
      <c r="IU1" s="186"/>
      <c r="IV1" s="186"/>
      <c r="IW1" s="186"/>
      <c r="IX1" s="186"/>
      <c r="IY1" s="186"/>
      <c r="IZ1" s="186"/>
      <c r="JA1" s="186"/>
      <c r="JB1" s="186"/>
      <c r="JC1" s="186"/>
      <c r="JD1" s="186"/>
      <c r="JE1" s="186"/>
      <c r="JF1" s="186"/>
      <c r="JG1" s="186"/>
      <c r="JH1" s="186"/>
      <c r="JI1" s="186"/>
      <c r="JJ1" s="186"/>
      <c r="JK1" s="186"/>
      <c r="JL1" s="186"/>
      <c r="JM1" s="186"/>
      <c r="JN1" s="186"/>
      <c r="JO1" s="186"/>
      <c r="JP1" s="186"/>
      <c r="JQ1" s="186"/>
      <c r="JR1" s="186"/>
      <c r="JS1" s="186"/>
      <c r="JT1" s="186"/>
      <c r="JU1" s="186"/>
      <c r="JV1" s="186"/>
      <c r="JW1" s="186"/>
      <c r="JX1" s="186"/>
      <c r="JY1" s="186"/>
      <c r="JZ1" s="186"/>
      <c r="KA1" s="186"/>
      <c r="KB1" s="186"/>
      <c r="KC1" s="186"/>
      <c r="KD1" s="186"/>
      <c r="KE1" s="186"/>
      <c r="KF1" s="186"/>
      <c r="KG1" s="186"/>
      <c r="KH1" s="186"/>
      <c r="KI1" s="186"/>
      <c r="KJ1" s="186"/>
      <c r="KK1" s="186"/>
      <c r="KL1" s="186"/>
      <c r="KM1" s="186"/>
      <c r="KN1" s="186"/>
      <c r="KO1" s="186"/>
      <c r="KP1" s="186"/>
      <c r="KQ1" s="186"/>
      <c r="KR1" s="186"/>
      <c r="KS1" s="186"/>
      <c r="KT1" s="186"/>
      <c r="KU1" s="186"/>
      <c r="KV1" s="186"/>
      <c r="KW1" s="186"/>
      <c r="KX1" s="186"/>
      <c r="KY1" s="186"/>
      <c r="KZ1" s="186"/>
      <c r="LA1" s="186"/>
      <c r="LB1" s="186"/>
      <c r="LC1" s="186"/>
      <c r="LD1" s="186"/>
      <c r="LE1" s="186"/>
      <c r="LF1" s="186"/>
      <c r="LG1" s="186"/>
      <c r="LH1" s="186"/>
      <c r="LI1" s="186"/>
      <c r="LJ1" s="186"/>
      <c r="LK1" s="186"/>
      <c r="LL1" s="186"/>
      <c r="LM1" s="186"/>
      <c r="LN1" s="186"/>
      <c r="LO1" s="186"/>
      <c r="LP1" s="186"/>
      <c r="LQ1" s="186"/>
      <c r="LR1" s="186"/>
      <c r="LS1" s="186"/>
      <c r="LT1" s="186"/>
      <c r="LU1" s="186"/>
      <c r="LV1" s="186"/>
      <c r="LW1" s="186"/>
      <c r="LX1" s="186"/>
      <c r="LY1" s="186"/>
      <c r="LZ1" s="186"/>
      <c r="MA1" s="186"/>
      <c r="MB1" s="186"/>
      <c r="MC1" s="186"/>
      <c r="MD1" s="186"/>
      <c r="ME1" s="186"/>
      <c r="MF1" s="186"/>
      <c r="MG1" s="186"/>
      <c r="MH1" s="186"/>
      <c r="MI1" s="186"/>
      <c r="MJ1" s="186"/>
      <c r="MK1" s="186"/>
      <c r="ML1" s="186"/>
      <c r="MM1" s="186"/>
      <c r="MN1" s="186"/>
      <c r="MO1" s="186"/>
      <c r="MP1" s="186"/>
      <c r="MQ1" s="186"/>
      <c r="MR1" s="186"/>
      <c r="MS1" s="186"/>
      <c r="MT1" s="186"/>
      <c r="MU1" s="186"/>
      <c r="MV1" s="186"/>
      <c r="MW1" s="186"/>
      <c r="MX1" s="186"/>
      <c r="MY1" s="186"/>
      <c r="MZ1" s="186"/>
      <c r="NA1" s="186"/>
      <c r="NB1" s="186"/>
      <c r="NC1" s="186"/>
      <c r="ND1" s="186"/>
      <c r="NE1" s="186"/>
      <c r="NF1" s="186"/>
      <c r="NG1" s="186"/>
      <c r="NH1" s="186"/>
      <c r="NI1" s="186"/>
      <c r="NJ1" s="186"/>
      <c r="NK1" s="186"/>
      <c r="NL1" s="186"/>
      <c r="NM1" s="186"/>
      <c r="NN1" s="186"/>
      <c r="NO1" s="186"/>
      <c r="NP1" s="186"/>
      <c r="NQ1" s="186"/>
      <c r="NR1" s="186"/>
      <c r="NS1" s="186"/>
      <c r="NT1" s="186"/>
      <c r="NU1" s="186"/>
      <c r="NV1" s="186"/>
      <c r="NW1" s="186"/>
      <c r="NX1" s="186"/>
      <c r="NY1" s="186"/>
      <c r="NZ1" s="186"/>
      <c r="OA1" s="186"/>
      <c r="OB1" s="186"/>
      <c r="OC1" s="186"/>
      <c r="OD1" s="186"/>
      <c r="OE1" s="186"/>
      <c r="OF1" s="186"/>
      <c r="OG1" s="186"/>
      <c r="OH1" s="186"/>
      <c r="OI1" s="186"/>
      <c r="OJ1" s="186"/>
      <c r="OK1" s="186"/>
      <c r="OL1" s="186"/>
      <c r="OM1" s="186"/>
      <c r="ON1" s="186"/>
      <c r="OO1" s="186"/>
      <c r="OP1" s="186"/>
      <c r="OQ1" s="186"/>
      <c r="OR1" s="186"/>
      <c r="OS1" s="186"/>
      <c r="OT1" s="186"/>
      <c r="OU1" s="186"/>
      <c r="OV1" s="186"/>
      <c r="OW1" s="186"/>
      <c r="OX1" s="186"/>
      <c r="OY1" s="186"/>
      <c r="OZ1" s="186"/>
      <c r="PA1" s="186"/>
      <c r="PB1" s="186"/>
      <c r="PC1" s="186"/>
      <c r="PD1" s="186"/>
      <c r="PE1" s="186"/>
      <c r="PF1" s="186"/>
      <c r="PG1" s="186"/>
      <c r="PH1" s="186"/>
      <c r="PI1" s="186"/>
      <c r="PJ1" s="186"/>
      <c r="PK1" s="186"/>
      <c r="PL1" s="186"/>
      <c r="PM1" s="186"/>
      <c r="PN1" s="186"/>
      <c r="PO1" s="186"/>
      <c r="PP1" s="186"/>
      <c r="PQ1" s="186"/>
      <c r="PR1" s="186"/>
      <c r="PS1" s="186"/>
      <c r="PT1" s="186"/>
      <c r="PU1" s="186"/>
      <c r="PV1" s="186"/>
      <c r="PW1" s="186"/>
      <c r="PX1" s="186"/>
      <c r="PY1" s="186"/>
      <c r="PZ1" s="186"/>
      <c r="QA1" s="186"/>
      <c r="QB1" s="186"/>
      <c r="QC1" s="186"/>
      <c r="QD1" s="186"/>
      <c r="QE1" s="186"/>
      <c r="QF1" s="186"/>
      <c r="QG1" s="186"/>
      <c r="QH1" s="186"/>
      <c r="QI1" s="186"/>
      <c r="QJ1" s="186"/>
      <c r="QK1" s="186"/>
      <c r="QL1" s="186"/>
      <c r="QM1" s="186"/>
      <c r="QN1" s="186"/>
      <c r="QO1" s="186"/>
      <c r="QP1" s="186"/>
      <c r="QQ1" s="186"/>
      <c r="QR1" s="186"/>
      <c r="QS1" s="186"/>
      <c r="QT1" s="186"/>
      <c r="QU1" s="186"/>
      <c r="QV1" s="186"/>
      <c r="QW1" s="186"/>
      <c r="QX1" s="186"/>
      <c r="QY1" s="186"/>
      <c r="QZ1" s="186"/>
      <c r="RA1" s="186"/>
      <c r="RB1" s="186"/>
      <c r="RC1" s="186"/>
      <c r="RD1" s="186"/>
      <c r="RE1" s="186"/>
      <c r="RF1" s="186"/>
      <c r="RG1" s="186"/>
      <c r="RH1" s="186"/>
      <c r="RI1" s="186"/>
      <c r="RJ1" s="186"/>
      <c r="RK1" s="186"/>
      <c r="RL1" s="186"/>
      <c r="RM1" s="186"/>
      <c r="RN1" s="186"/>
      <c r="RO1" s="186"/>
      <c r="RP1" s="186"/>
      <c r="RQ1" s="186"/>
      <c r="RR1" s="186"/>
      <c r="RS1" s="186"/>
      <c r="RT1" s="186"/>
      <c r="RU1" s="186"/>
      <c r="RV1" s="186"/>
      <c r="RW1" s="186"/>
      <c r="RX1" s="186"/>
      <c r="RY1" s="186"/>
      <c r="RZ1" s="186"/>
      <c r="SA1" s="186"/>
      <c r="SB1" s="186"/>
      <c r="SC1" s="186"/>
      <c r="SD1" s="186"/>
      <c r="SE1" s="186"/>
      <c r="SF1" s="186"/>
      <c r="SG1" s="186"/>
      <c r="SH1" s="186"/>
      <c r="SI1" s="186"/>
      <c r="SJ1" s="186"/>
      <c r="SK1" s="186"/>
      <c r="SL1" s="186"/>
      <c r="SM1" s="186"/>
      <c r="SN1" s="186"/>
      <c r="SO1" s="186"/>
      <c r="SP1" s="186"/>
      <c r="SQ1" s="186"/>
      <c r="SR1" s="186"/>
      <c r="SS1" s="186"/>
      <c r="ST1" s="186"/>
      <c r="SU1" s="186"/>
      <c r="SV1" s="186"/>
      <c r="SW1" s="186"/>
      <c r="SX1" s="186"/>
      <c r="SY1" s="186"/>
      <c r="SZ1" s="186"/>
      <c r="TA1" s="186"/>
      <c r="TB1" s="186"/>
      <c r="TC1" s="186"/>
      <c r="TD1" s="186"/>
      <c r="TE1" s="186"/>
      <c r="TF1" s="186"/>
      <c r="TG1" s="186"/>
      <c r="TH1" s="186"/>
      <c r="TI1" s="186"/>
      <c r="TJ1" s="186"/>
      <c r="TK1" s="186"/>
      <c r="TL1" s="186"/>
      <c r="TM1" s="186"/>
      <c r="TN1" s="186"/>
      <c r="TO1" s="186"/>
      <c r="TP1" s="186"/>
      <c r="TQ1" s="186"/>
      <c r="TR1" s="186"/>
      <c r="TS1" s="186"/>
      <c r="TT1" s="186"/>
      <c r="TU1" s="186"/>
      <c r="TV1" s="186"/>
      <c r="TW1" s="186"/>
      <c r="TX1" s="186"/>
      <c r="TY1" s="186"/>
      <c r="TZ1" s="186"/>
      <c r="UA1" s="186"/>
      <c r="UB1" s="186"/>
      <c r="UC1" s="186"/>
      <c r="UD1" s="186"/>
      <c r="UE1" s="186"/>
      <c r="UF1" s="186"/>
      <c r="UG1" s="186"/>
      <c r="UH1" s="186"/>
      <c r="UI1" s="186"/>
      <c r="UJ1" s="186"/>
      <c r="UK1" s="186"/>
      <c r="UL1" s="186"/>
      <c r="UM1" s="186"/>
      <c r="UN1" s="186"/>
      <c r="UO1" s="186"/>
      <c r="UP1" s="186"/>
      <c r="UQ1" s="186"/>
      <c r="UR1" s="186"/>
      <c r="US1" s="186"/>
      <c r="UT1" s="186"/>
      <c r="UU1" s="186"/>
      <c r="UV1" s="186"/>
      <c r="UW1" s="186"/>
      <c r="UX1" s="186"/>
      <c r="UY1" s="186"/>
      <c r="UZ1" s="186"/>
      <c r="VA1" s="186"/>
      <c r="VB1" s="186"/>
      <c r="VC1" s="186"/>
      <c r="VD1" s="186"/>
      <c r="VE1" s="186"/>
      <c r="VF1" s="186"/>
      <c r="VG1" s="186"/>
      <c r="VH1" s="186"/>
      <c r="VI1" s="186"/>
      <c r="VJ1" s="186"/>
      <c r="VK1" s="186"/>
      <c r="VL1" s="186"/>
      <c r="VM1" s="186"/>
      <c r="VN1" s="186"/>
      <c r="VO1" s="186"/>
      <c r="VP1" s="186"/>
      <c r="VQ1" s="186"/>
      <c r="VR1" s="186"/>
      <c r="VS1" s="186"/>
      <c r="VT1" s="186"/>
      <c r="VU1" s="186"/>
      <c r="VV1" s="186"/>
      <c r="VW1" s="186"/>
      <c r="VX1" s="186"/>
      <c r="VY1" s="186"/>
      <c r="VZ1" s="186"/>
      <c r="WA1" s="186"/>
      <c r="WB1" s="186"/>
      <c r="WC1" s="186"/>
      <c r="WD1" s="186"/>
      <c r="WE1" s="186"/>
      <c r="WF1" s="186"/>
      <c r="WG1" s="186"/>
      <c r="WH1" s="186"/>
      <c r="WI1" s="186"/>
      <c r="WJ1" s="186"/>
      <c r="WK1" s="186"/>
      <c r="WL1" s="186"/>
      <c r="WM1" s="186"/>
      <c r="WN1" s="186"/>
      <c r="WO1" s="186"/>
      <c r="WP1" s="186"/>
      <c r="WQ1" s="186"/>
      <c r="WR1" s="186"/>
      <c r="WS1" s="186"/>
      <c r="WT1" s="186"/>
      <c r="WU1" s="186"/>
      <c r="WV1" s="186"/>
      <c r="WW1" s="186"/>
      <c r="WX1" s="186"/>
      <c r="WY1" s="186"/>
      <c r="WZ1" s="186"/>
      <c r="XA1" s="186"/>
      <c r="XB1" s="186"/>
      <c r="XC1" s="186"/>
      <c r="XD1" s="186"/>
      <c r="XE1" s="186"/>
      <c r="XF1" s="186"/>
      <c r="XG1" s="186"/>
      <c r="XH1" s="186"/>
      <c r="XI1" s="186"/>
      <c r="XJ1" s="186"/>
      <c r="XK1" s="186"/>
      <c r="XL1" s="186"/>
      <c r="XM1" s="186"/>
      <c r="XN1" s="186"/>
      <c r="XO1" s="186"/>
      <c r="XP1" s="186"/>
      <c r="XQ1" s="186"/>
      <c r="XR1" s="186"/>
      <c r="XS1" s="186"/>
      <c r="XT1" s="186"/>
      <c r="XU1" s="186"/>
      <c r="XV1" s="186"/>
      <c r="XW1" s="186"/>
      <c r="XX1" s="186"/>
      <c r="XY1" s="186"/>
      <c r="XZ1" s="186"/>
      <c r="YA1" s="186"/>
      <c r="YB1" s="186"/>
      <c r="YC1" s="186"/>
      <c r="YD1" s="186"/>
      <c r="YE1" s="186"/>
      <c r="YF1" s="186"/>
      <c r="YG1" s="186"/>
      <c r="YH1" s="186"/>
      <c r="YI1" s="186"/>
      <c r="YJ1" s="186"/>
      <c r="YK1" s="186"/>
      <c r="YL1" s="186"/>
      <c r="YM1" s="186"/>
      <c r="YN1" s="186"/>
      <c r="YO1" s="186"/>
      <c r="YP1" s="186"/>
      <c r="YQ1" s="186"/>
      <c r="YR1" s="186"/>
      <c r="YS1" s="186"/>
      <c r="YT1" s="186"/>
      <c r="YU1" s="186"/>
      <c r="YV1" s="186"/>
      <c r="YW1" s="186"/>
      <c r="YX1" s="186"/>
      <c r="YY1" s="186"/>
      <c r="YZ1" s="186"/>
      <c r="ZA1" s="186"/>
      <c r="ZB1" s="186"/>
      <c r="ZC1" s="186"/>
      <c r="ZD1" s="186"/>
      <c r="ZE1" s="186"/>
      <c r="ZF1" s="186"/>
      <c r="ZG1" s="186"/>
      <c r="ZH1" s="186"/>
      <c r="ZI1" s="186"/>
      <c r="ZJ1" s="186"/>
      <c r="ZK1" s="186"/>
      <c r="ZL1" s="186"/>
      <c r="ZM1" s="186"/>
      <c r="ZN1" s="186"/>
      <c r="ZO1" s="186"/>
      <c r="ZP1" s="186"/>
      <c r="ZQ1" s="186"/>
      <c r="ZR1" s="186"/>
      <c r="ZS1" s="186"/>
      <c r="ZT1" s="186"/>
      <c r="ZU1" s="186"/>
      <c r="ZV1" s="186"/>
      <c r="ZW1" s="186"/>
      <c r="ZX1" s="186"/>
      <c r="ZY1" s="186"/>
      <c r="ZZ1" s="186"/>
      <c r="AAA1" s="186"/>
      <c r="AAB1" s="186"/>
      <c r="AAC1" s="186"/>
      <c r="AAD1" s="186"/>
      <c r="AAE1" s="186"/>
      <c r="AAF1" s="186"/>
      <c r="AAG1" s="186"/>
      <c r="AAH1" s="186"/>
      <c r="AAI1" s="186"/>
      <c r="AAJ1" s="186"/>
      <c r="AAK1" s="186"/>
      <c r="AAL1" s="186"/>
      <c r="AAM1" s="186"/>
      <c r="AAN1" s="186"/>
      <c r="AAO1" s="186"/>
      <c r="AAP1" s="186"/>
      <c r="AAQ1" s="186"/>
      <c r="AAR1" s="186"/>
      <c r="AAS1" s="186"/>
      <c r="AAT1" s="186"/>
      <c r="AAU1" s="186"/>
      <c r="AAV1" s="186"/>
      <c r="AAW1" s="186"/>
      <c r="AAX1" s="186"/>
      <c r="AAY1" s="186"/>
      <c r="AAZ1" s="186"/>
      <c r="ABA1" s="186"/>
      <c r="ABB1" s="186"/>
      <c r="ABC1" s="186"/>
      <c r="ABD1" s="186"/>
      <c r="ABE1" s="186"/>
      <c r="ABF1" s="186"/>
      <c r="ABG1" s="186"/>
      <c r="ABH1" s="186"/>
      <c r="ABI1" s="186"/>
      <c r="ABJ1" s="186"/>
      <c r="ABK1" s="186"/>
      <c r="ABL1" s="186"/>
      <c r="ABM1" s="186"/>
      <c r="ABN1" s="186"/>
      <c r="ABO1" s="186"/>
      <c r="ABP1" s="186"/>
      <c r="ABQ1" s="186"/>
      <c r="ABR1" s="186"/>
      <c r="ABS1" s="186"/>
      <c r="ABT1" s="186"/>
      <c r="ABU1" s="186"/>
      <c r="ABV1" s="186"/>
      <c r="ABW1" s="186"/>
      <c r="ABX1" s="186"/>
      <c r="ABY1" s="186"/>
      <c r="ABZ1" s="186"/>
      <c r="ACA1" s="186"/>
      <c r="ACB1" s="186"/>
      <c r="ACC1" s="186"/>
      <c r="ACD1" s="186"/>
      <c r="ACE1" s="186"/>
      <c r="ACF1" s="186"/>
      <c r="ACG1" s="186"/>
      <c r="ACH1" s="186"/>
      <c r="ACI1" s="186"/>
      <c r="ACJ1" s="186"/>
      <c r="ACK1" s="186"/>
      <c r="ACL1" s="186"/>
      <c r="ACM1" s="186"/>
      <c r="ACN1" s="186"/>
      <c r="ACO1" s="186"/>
      <c r="ACP1" s="186"/>
      <c r="ACQ1" s="186"/>
      <c r="ACR1" s="186"/>
      <c r="ACS1" s="186"/>
      <c r="ACT1" s="186"/>
      <c r="ACU1" s="186"/>
      <c r="ACV1" s="186"/>
      <c r="ACW1" s="186"/>
      <c r="ACX1" s="186"/>
      <c r="ACY1" s="186"/>
      <c r="ACZ1" s="186"/>
      <c r="ADA1" s="186"/>
      <c r="ADB1" s="186"/>
      <c r="ADC1" s="186"/>
      <c r="ADD1" s="186"/>
      <c r="ADE1" s="186"/>
      <c r="ADF1" s="186"/>
      <c r="ADG1" s="186"/>
      <c r="ADH1" s="186"/>
      <c r="ADI1" s="186"/>
      <c r="ADJ1" s="186"/>
      <c r="ADK1" s="186"/>
      <c r="ADL1" s="186"/>
      <c r="ADM1" s="186"/>
      <c r="ADN1" s="186"/>
      <c r="ADO1" s="186"/>
      <c r="ADP1" s="186"/>
      <c r="ADQ1" s="186"/>
      <c r="ADR1" s="186"/>
      <c r="ADS1" s="186"/>
      <c r="ADT1" s="186"/>
      <c r="ADU1" s="186"/>
      <c r="ADV1" s="186"/>
      <c r="ADW1" s="186"/>
      <c r="ADX1" s="186"/>
      <c r="ADY1" s="186"/>
      <c r="ADZ1" s="186"/>
      <c r="AEA1" s="186"/>
      <c r="AEB1" s="186"/>
      <c r="AEC1" s="186"/>
      <c r="AED1" s="186"/>
      <c r="AEE1" s="186"/>
      <c r="AEF1" s="186"/>
      <c r="AEG1" s="186"/>
      <c r="AEH1" s="186"/>
      <c r="AEI1" s="186"/>
      <c r="AEJ1" s="186"/>
      <c r="AEK1" s="186"/>
      <c r="AEL1" s="186"/>
      <c r="AEM1" s="186"/>
      <c r="AEN1" s="186"/>
      <c r="AEO1" s="186"/>
      <c r="AEP1" s="186"/>
      <c r="AEQ1" s="186"/>
      <c r="AER1" s="186"/>
      <c r="AES1" s="186"/>
      <c r="AET1" s="186"/>
      <c r="AEU1" s="186"/>
      <c r="AEV1" s="186"/>
      <c r="AEW1" s="186"/>
      <c r="AEX1" s="186"/>
      <c r="AEY1" s="186"/>
      <c r="AEZ1" s="186"/>
      <c r="AFA1" s="186"/>
      <c r="AFB1" s="186"/>
      <c r="AFC1" s="186"/>
      <c r="AFD1" s="186"/>
      <c r="AFE1" s="186"/>
      <c r="AFF1" s="186"/>
      <c r="AFG1" s="186"/>
      <c r="AFH1" s="186"/>
      <c r="AFI1" s="186"/>
      <c r="AFJ1" s="186"/>
      <c r="AFK1" s="186"/>
      <c r="AFL1" s="186"/>
      <c r="AFM1" s="186"/>
      <c r="AFN1" s="186"/>
      <c r="AFO1" s="186"/>
      <c r="AFP1" s="186"/>
      <c r="AFQ1" s="186"/>
      <c r="AFR1" s="186"/>
      <c r="AFS1" s="186"/>
      <c r="AFT1" s="186"/>
      <c r="AFU1" s="186"/>
      <c r="AFV1" s="186"/>
      <c r="AFW1" s="186"/>
      <c r="AFX1" s="186"/>
      <c r="AFY1" s="186"/>
      <c r="AFZ1" s="186"/>
      <c r="AGA1" s="186"/>
      <c r="AGB1" s="186"/>
      <c r="AGC1" s="186"/>
      <c r="AGD1" s="186"/>
      <c r="AGE1" s="186"/>
      <c r="AGF1" s="186"/>
      <c r="AGG1" s="186"/>
      <c r="AGH1" s="186"/>
      <c r="AGI1" s="186"/>
      <c r="AGJ1" s="186"/>
      <c r="AGK1" s="186"/>
      <c r="AGL1" s="186"/>
      <c r="AGM1" s="186"/>
      <c r="AGN1" s="186"/>
      <c r="AGO1" s="186"/>
      <c r="AGP1" s="186"/>
      <c r="AGQ1" s="186"/>
      <c r="AGR1" s="186"/>
      <c r="AGS1" s="186"/>
      <c r="AGT1" s="186"/>
      <c r="AGU1" s="186"/>
      <c r="AGV1" s="186"/>
      <c r="AGW1" s="186"/>
      <c r="AGX1" s="186"/>
      <c r="AGY1" s="186"/>
      <c r="AGZ1" s="186"/>
      <c r="AHA1" s="186"/>
      <c r="AHB1" s="186"/>
      <c r="AHC1" s="186"/>
      <c r="AHD1" s="186"/>
      <c r="AHE1" s="186"/>
      <c r="AHF1" s="186"/>
      <c r="AHG1" s="186"/>
      <c r="AHH1" s="186"/>
      <c r="AHI1" s="186"/>
      <c r="AHJ1" s="186"/>
      <c r="AHK1" s="186"/>
      <c r="AHL1" s="186"/>
      <c r="AHM1" s="186"/>
      <c r="AHN1" s="186"/>
      <c r="AHO1" s="186"/>
      <c r="AHP1" s="186"/>
      <c r="AHQ1" s="186"/>
      <c r="AHR1" s="186"/>
      <c r="AHS1" s="186"/>
      <c r="AHT1" s="186"/>
      <c r="AHU1" s="186"/>
      <c r="AHV1" s="186"/>
      <c r="AHW1" s="186"/>
      <c r="AHX1" s="186"/>
      <c r="AHY1" s="186"/>
      <c r="AHZ1" s="186"/>
      <c r="AIA1" s="186"/>
      <c r="AIB1" s="186"/>
      <c r="AIC1" s="186"/>
      <c r="AID1" s="186"/>
      <c r="AIE1" s="186"/>
      <c r="AIF1" s="186"/>
      <c r="AIG1" s="186"/>
      <c r="AIH1" s="186"/>
      <c r="AII1" s="186"/>
      <c r="AIJ1" s="186"/>
      <c r="AIK1" s="186"/>
      <c r="AIL1" s="186"/>
      <c r="AIM1" s="186"/>
      <c r="AIN1" s="186"/>
      <c r="AIO1" s="186"/>
      <c r="AIP1" s="186"/>
      <c r="AIQ1" s="186"/>
      <c r="AIR1" s="186"/>
      <c r="AIS1" s="186"/>
      <c r="AIT1" s="186"/>
      <c r="AIU1" s="186"/>
      <c r="AIV1" s="186"/>
      <c r="AIW1" s="186"/>
      <c r="AIX1" s="186"/>
      <c r="AIY1" s="186"/>
      <c r="AIZ1" s="186"/>
      <c r="AJA1" s="186"/>
      <c r="AJB1" s="186"/>
      <c r="AJC1" s="186"/>
      <c r="AJD1" s="186"/>
      <c r="AJE1" s="186"/>
      <c r="AJF1" s="186"/>
      <c r="AJG1" s="186"/>
      <c r="AJH1" s="186"/>
      <c r="AJI1" s="186"/>
      <c r="AJJ1" s="186"/>
      <c r="AJK1" s="186"/>
      <c r="AJL1" s="186"/>
      <c r="AJM1" s="186"/>
      <c r="AJN1" s="186"/>
      <c r="AJO1" s="186"/>
      <c r="AJP1" s="186"/>
      <c r="AJQ1" s="186"/>
      <c r="AJR1" s="186"/>
      <c r="AJS1" s="186"/>
      <c r="AJT1" s="186"/>
      <c r="AJU1" s="186"/>
      <c r="AJV1" s="186"/>
      <c r="AJW1" s="186"/>
      <c r="AJX1" s="186"/>
      <c r="AJY1" s="186"/>
      <c r="AJZ1" s="186"/>
      <c r="AKA1" s="186"/>
      <c r="AKB1" s="186"/>
      <c r="AKC1" s="186"/>
      <c r="AKD1" s="186"/>
      <c r="AKE1" s="186"/>
      <c r="AKF1" s="186"/>
      <c r="AKG1" s="186"/>
      <c r="AKH1" s="186"/>
      <c r="AKI1" s="186"/>
      <c r="AKJ1" s="186"/>
      <c r="AKK1" s="186"/>
      <c r="AKL1" s="186"/>
      <c r="AKM1" s="186"/>
      <c r="AKN1" s="186"/>
      <c r="AKO1" s="186"/>
      <c r="AKP1" s="186"/>
      <c r="AKQ1" s="186"/>
      <c r="AKR1" s="186"/>
      <c r="AKS1" s="186"/>
      <c r="AKT1" s="186"/>
      <c r="AKU1" s="186"/>
      <c r="AKV1" s="186"/>
      <c r="AKW1" s="186"/>
      <c r="AKX1" s="186"/>
      <c r="AKY1" s="186"/>
      <c r="AKZ1" s="186"/>
      <c r="ALA1" s="186"/>
      <c r="ALB1" s="186"/>
      <c r="ALC1" s="186"/>
      <c r="ALD1" s="186"/>
      <c r="ALE1" s="186"/>
      <c r="ALF1" s="186"/>
      <c r="ALG1" s="186"/>
      <c r="ALH1" s="186"/>
      <c r="ALI1" s="186"/>
      <c r="ALJ1" s="186"/>
      <c r="ALK1" s="186"/>
      <c r="ALL1" s="186"/>
      <c r="ALM1" s="186"/>
      <c r="ALN1" s="186"/>
      <c r="ALO1" s="186"/>
      <c r="ALP1" s="186"/>
      <c r="ALQ1" s="186"/>
      <c r="ALR1" s="186"/>
      <c r="ALS1" s="186"/>
      <c r="ALT1" s="186"/>
      <c r="ALU1" s="186"/>
      <c r="ALV1" s="186"/>
      <c r="ALW1" s="186"/>
      <c r="ALX1" s="186"/>
      <c r="ALY1" s="186"/>
      <c r="ALZ1" s="186"/>
      <c r="AMA1" s="186"/>
      <c r="AMB1" s="186"/>
      <c r="AMC1" s="186"/>
      <c r="AMD1" s="186"/>
      <c r="AME1" s="186"/>
      <c r="AMF1" s="186"/>
      <c r="AMG1" s="186"/>
      <c r="AMH1" s="186"/>
      <c r="AMI1" s="186"/>
      <c r="AMJ1" s="186"/>
      <c r="AMK1" s="186"/>
      <c r="AML1" s="186"/>
      <c r="AMM1" s="186"/>
      <c r="AMN1" s="186"/>
      <c r="AMO1" s="186"/>
      <c r="AMP1" s="186"/>
      <c r="AMQ1" s="186"/>
      <c r="AMR1" s="186"/>
      <c r="AMS1" s="186"/>
      <c r="AMT1" s="186"/>
      <c r="AMU1" s="186"/>
      <c r="AMV1" s="186"/>
      <c r="AMW1" s="186"/>
      <c r="AMX1" s="186"/>
      <c r="AMY1" s="186"/>
      <c r="AMZ1" s="186"/>
      <c r="ANA1" s="186"/>
      <c r="ANB1" s="186"/>
      <c r="ANC1" s="186"/>
      <c r="AND1" s="186"/>
      <c r="ANE1" s="186"/>
      <c r="ANF1" s="186"/>
      <c r="ANG1" s="186"/>
      <c r="ANH1" s="186"/>
      <c r="ANI1" s="186"/>
      <c r="ANJ1" s="186"/>
      <c r="ANK1" s="186"/>
      <c r="ANL1" s="186"/>
      <c r="ANM1" s="186"/>
      <c r="ANN1" s="186"/>
      <c r="ANO1" s="186"/>
      <c r="ANP1" s="186"/>
      <c r="ANQ1" s="186"/>
      <c r="ANR1" s="186"/>
      <c r="ANS1" s="186"/>
      <c r="ANT1" s="186"/>
      <c r="ANU1" s="186"/>
      <c r="ANV1" s="186"/>
      <c r="ANW1" s="186"/>
      <c r="ANX1" s="186"/>
      <c r="ANY1" s="186"/>
      <c r="ANZ1" s="186"/>
      <c r="AOA1" s="186"/>
      <c r="AOB1" s="186"/>
      <c r="AOC1" s="186"/>
      <c r="AOD1" s="186"/>
      <c r="AOE1" s="186"/>
      <c r="AOF1" s="186"/>
      <c r="AOG1" s="186"/>
      <c r="AOH1" s="186"/>
      <c r="AOI1" s="186"/>
      <c r="AOJ1" s="186"/>
      <c r="AOK1" s="186"/>
      <c r="AOL1" s="186"/>
      <c r="AOM1" s="186"/>
      <c r="AON1" s="186"/>
      <c r="AOO1" s="186"/>
      <c r="AOP1" s="186"/>
      <c r="AOQ1" s="186"/>
      <c r="AOR1" s="186"/>
      <c r="AOS1" s="186"/>
      <c r="AOT1" s="186"/>
      <c r="AOU1" s="186"/>
      <c r="AOV1" s="186"/>
      <c r="AOW1" s="186"/>
      <c r="AOX1" s="186"/>
      <c r="AOY1" s="186"/>
      <c r="AOZ1" s="186"/>
      <c r="APA1" s="186"/>
      <c r="APB1" s="186"/>
      <c r="APC1" s="186"/>
      <c r="APD1" s="186"/>
      <c r="APE1" s="186"/>
      <c r="APF1" s="186"/>
      <c r="APG1" s="186"/>
      <c r="APH1" s="186"/>
      <c r="API1" s="186"/>
      <c r="APJ1" s="186"/>
      <c r="APK1" s="186"/>
      <c r="APL1" s="186"/>
      <c r="APM1" s="186"/>
      <c r="APN1" s="186"/>
      <c r="APO1" s="186"/>
      <c r="APP1" s="186"/>
      <c r="APQ1" s="186"/>
      <c r="APR1" s="186"/>
      <c r="APS1" s="186"/>
      <c r="APT1" s="186"/>
      <c r="APU1" s="186"/>
      <c r="APV1" s="186"/>
      <c r="APW1" s="186"/>
      <c r="APX1" s="186"/>
      <c r="APY1" s="186"/>
      <c r="APZ1" s="186"/>
      <c r="AQA1" s="186"/>
      <c r="AQB1" s="186"/>
      <c r="AQC1" s="186"/>
      <c r="AQD1" s="186"/>
      <c r="AQE1" s="186"/>
      <c r="AQF1" s="186"/>
      <c r="AQG1" s="186"/>
      <c r="AQH1" s="186"/>
      <c r="AQI1" s="186"/>
      <c r="AQJ1" s="186"/>
      <c r="AQK1" s="186"/>
      <c r="AQL1" s="186"/>
      <c r="AQM1" s="186"/>
      <c r="AQN1" s="186"/>
      <c r="AQO1" s="186"/>
      <c r="AQP1" s="186"/>
      <c r="AQQ1" s="186"/>
      <c r="AQR1" s="186"/>
      <c r="AQS1" s="186"/>
      <c r="AQT1" s="186"/>
      <c r="AQU1" s="186"/>
      <c r="AQV1" s="186"/>
      <c r="AQW1" s="186"/>
      <c r="AQX1" s="186"/>
      <c r="AQY1" s="186"/>
      <c r="AQZ1" s="186"/>
      <c r="ARA1" s="186"/>
      <c r="ARB1" s="186"/>
      <c r="ARC1" s="186"/>
      <c r="ARD1" s="186"/>
      <c r="ARE1" s="186"/>
      <c r="ARF1" s="186"/>
      <c r="ARG1" s="186"/>
      <c r="ARH1" s="186"/>
      <c r="ARI1" s="186"/>
      <c r="ARJ1" s="186"/>
      <c r="ARK1" s="186"/>
      <c r="ARL1" s="186"/>
      <c r="ARM1" s="186"/>
      <c r="ARN1" s="186"/>
      <c r="ARO1" s="186"/>
      <c r="ARP1" s="186"/>
      <c r="ARQ1" s="186"/>
      <c r="ARR1" s="186"/>
      <c r="ARS1" s="186"/>
      <c r="ART1" s="186"/>
      <c r="ARU1" s="186"/>
      <c r="ARV1" s="186"/>
      <c r="ARW1" s="186"/>
      <c r="ARX1" s="186"/>
      <c r="ARY1" s="186"/>
      <c r="ARZ1" s="186"/>
      <c r="ASA1" s="186"/>
      <c r="ASB1" s="186"/>
      <c r="ASC1" s="186"/>
      <c r="ASD1" s="186"/>
      <c r="ASE1" s="186"/>
      <c r="ASF1" s="186"/>
      <c r="ASG1" s="186"/>
      <c r="ASH1" s="186"/>
      <c r="ASI1" s="186"/>
      <c r="ASJ1" s="186"/>
      <c r="ASK1" s="186"/>
      <c r="ASL1" s="186"/>
      <c r="ASM1" s="186"/>
      <c r="ASN1" s="186"/>
      <c r="ASO1" s="186"/>
      <c r="ASP1" s="186"/>
      <c r="ASQ1" s="186"/>
      <c r="ASR1" s="186"/>
      <c r="ASS1" s="186"/>
      <c r="AST1" s="186"/>
      <c r="ASU1" s="186"/>
      <c r="ASV1" s="186"/>
      <c r="ASW1" s="186"/>
      <c r="ASX1" s="186"/>
      <c r="ASY1" s="186"/>
      <c r="ASZ1" s="186"/>
      <c r="ATA1" s="186"/>
      <c r="ATB1" s="186"/>
      <c r="ATC1" s="186"/>
      <c r="ATD1" s="186"/>
      <c r="ATE1" s="186"/>
      <c r="ATF1" s="186"/>
      <c r="ATG1" s="186"/>
      <c r="ATH1" s="186"/>
      <c r="ATI1" s="186"/>
      <c r="ATJ1" s="186"/>
      <c r="ATK1" s="186"/>
      <c r="ATL1" s="186"/>
      <c r="ATM1" s="186"/>
      <c r="ATN1" s="186"/>
      <c r="ATO1" s="186"/>
      <c r="ATP1" s="186"/>
      <c r="ATQ1" s="186"/>
      <c r="ATR1" s="186"/>
      <c r="ATS1" s="186"/>
      <c r="ATT1" s="186"/>
      <c r="ATU1" s="186"/>
      <c r="ATV1" s="186"/>
      <c r="ATW1" s="186"/>
      <c r="ATX1" s="186"/>
      <c r="ATY1" s="186"/>
      <c r="ATZ1" s="186"/>
      <c r="AUA1" s="186"/>
      <c r="AUB1" s="186"/>
      <c r="AUC1" s="186"/>
      <c r="AUD1" s="186"/>
      <c r="AUE1" s="186"/>
      <c r="AUF1" s="186"/>
      <c r="AUG1" s="186"/>
      <c r="AUH1" s="186"/>
      <c r="AUI1" s="186"/>
      <c r="AUJ1" s="186"/>
      <c r="AUK1" s="186"/>
      <c r="AUL1" s="186"/>
      <c r="AUM1" s="186"/>
      <c r="AUN1" s="186"/>
      <c r="AUO1" s="186"/>
      <c r="AUP1" s="186"/>
      <c r="AUQ1" s="186"/>
      <c r="AUR1" s="186"/>
      <c r="AUS1" s="186"/>
      <c r="AUT1" s="186"/>
      <c r="AUU1" s="186"/>
      <c r="AUV1" s="186"/>
      <c r="AUW1" s="186"/>
      <c r="AUX1" s="186"/>
      <c r="AUY1" s="186"/>
      <c r="AUZ1" s="186"/>
      <c r="AVA1" s="186"/>
      <c r="AVB1" s="186"/>
      <c r="AVC1" s="186"/>
      <c r="AVD1" s="186"/>
      <c r="AVE1" s="186"/>
      <c r="AVF1" s="186"/>
      <c r="AVG1" s="186"/>
      <c r="AVH1" s="186"/>
      <c r="AVI1" s="186"/>
      <c r="AVJ1" s="186"/>
      <c r="AVK1" s="186"/>
      <c r="AVL1" s="186"/>
      <c r="AVM1" s="186"/>
      <c r="AVN1" s="186"/>
      <c r="AVO1" s="186"/>
      <c r="AVP1" s="186"/>
      <c r="AVQ1" s="186"/>
      <c r="AVR1" s="186"/>
      <c r="AVS1" s="186"/>
      <c r="AVT1" s="186"/>
      <c r="AVU1" s="186"/>
      <c r="AVV1" s="186"/>
      <c r="AVW1" s="186"/>
      <c r="AVX1" s="186"/>
      <c r="AVY1" s="186"/>
      <c r="AVZ1" s="186"/>
      <c r="AWA1" s="186"/>
      <c r="AWB1" s="186"/>
      <c r="AWC1" s="186"/>
      <c r="AWD1" s="186"/>
      <c r="AWE1" s="186"/>
      <c r="AWF1" s="186"/>
      <c r="AWG1" s="186"/>
      <c r="AWH1" s="186"/>
      <c r="AWI1" s="186"/>
      <c r="AWJ1" s="186"/>
      <c r="AWK1" s="186"/>
      <c r="AWL1" s="186"/>
      <c r="AWM1" s="186"/>
      <c r="AWN1" s="186"/>
      <c r="AWO1" s="186"/>
      <c r="AWP1" s="186"/>
      <c r="AWQ1" s="186"/>
      <c r="AWR1" s="186"/>
      <c r="AWS1" s="186"/>
      <c r="AWT1" s="186"/>
      <c r="AWU1" s="186"/>
      <c r="AWV1" s="186"/>
      <c r="AWW1" s="186"/>
      <c r="AWX1" s="186"/>
      <c r="AWY1" s="186"/>
      <c r="AWZ1" s="186"/>
      <c r="AXA1" s="186"/>
      <c r="AXB1" s="186"/>
      <c r="AXC1" s="186"/>
      <c r="AXD1" s="186"/>
      <c r="AXE1" s="186"/>
      <c r="AXF1" s="186"/>
      <c r="AXG1" s="186"/>
      <c r="AXH1" s="186"/>
      <c r="AXI1" s="186"/>
      <c r="AXJ1" s="186"/>
      <c r="AXK1" s="186"/>
      <c r="AXL1" s="186"/>
      <c r="AXM1" s="186"/>
      <c r="AXN1" s="186"/>
      <c r="AXO1" s="186"/>
      <c r="AXP1" s="186"/>
      <c r="AXQ1" s="186"/>
      <c r="AXR1" s="186"/>
      <c r="AXS1" s="186"/>
      <c r="AXT1" s="186"/>
      <c r="AXU1" s="186"/>
      <c r="AXV1" s="186"/>
      <c r="AXW1" s="186"/>
      <c r="AXX1" s="186"/>
      <c r="AXY1" s="186"/>
      <c r="AXZ1" s="186"/>
      <c r="AYA1" s="186"/>
      <c r="AYB1" s="186"/>
      <c r="AYC1" s="186"/>
      <c r="AYD1" s="186"/>
      <c r="AYE1" s="186"/>
      <c r="AYF1" s="186"/>
      <c r="AYG1" s="186"/>
      <c r="AYH1" s="186"/>
      <c r="AYI1" s="186"/>
      <c r="AYJ1" s="186"/>
      <c r="AYK1" s="186"/>
      <c r="AYL1" s="186"/>
      <c r="AYM1" s="186"/>
      <c r="AYN1" s="186"/>
      <c r="AYO1" s="186"/>
      <c r="AYP1" s="186"/>
      <c r="AYQ1" s="186"/>
      <c r="AYR1" s="186"/>
      <c r="AYS1" s="186"/>
      <c r="AYT1" s="186"/>
      <c r="AYU1" s="186"/>
      <c r="AYV1" s="186"/>
      <c r="AYW1" s="186"/>
      <c r="AYX1" s="186"/>
      <c r="AYY1" s="186"/>
      <c r="AYZ1" s="186"/>
      <c r="AZA1" s="186"/>
      <c r="AZB1" s="186"/>
      <c r="AZC1" s="186"/>
      <c r="AZD1" s="186"/>
      <c r="AZE1" s="186"/>
      <c r="AZF1" s="186"/>
      <c r="AZG1" s="186"/>
      <c r="AZH1" s="186"/>
      <c r="AZI1" s="186"/>
      <c r="AZJ1" s="186"/>
      <c r="AZK1" s="186"/>
      <c r="AZL1" s="186"/>
      <c r="AZM1" s="186"/>
      <c r="AZN1" s="186"/>
      <c r="AZO1" s="186"/>
      <c r="AZP1" s="186"/>
      <c r="AZQ1" s="186"/>
      <c r="AZR1" s="186"/>
      <c r="AZS1" s="186"/>
      <c r="AZT1" s="186"/>
      <c r="AZU1" s="186"/>
      <c r="AZV1" s="186"/>
      <c r="AZW1" s="186"/>
      <c r="AZX1" s="186"/>
      <c r="AZY1" s="186"/>
      <c r="AZZ1" s="186"/>
      <c r="BAA1" s="186"/>
      <c r="BAB1" s="186"/>
      <c r="BAC1" s="186"/>
      <c r="BAD1" s="186"/>
      <c r="BAE1" s="186"/>
      <c r="BAF1" s="186"/>
      <c r="BAG1" s="186"/>
      <c r="BAH1" s="186"/>
      <c r="BAI1" s="186"/>
      <c r="BAJ1" s="186"/>
      <c r="BAK1" s="186"/>
      <c r="BAL1" s="186"/>
      <c r="BAM1" s="186"/>
      <c r="BAN1" s="186"/>
      <c r="BAO1" s="186"/>
      <c r="BAP1" s="186"/>
      <c r="BAQ1" s="186"/>
      <c r="BAR1" s="186"/>
      <c r="BAS1" s="186"/>
      <c r="BAT1" s="186"/>
      <c r="BAU1" s="186"/>
      <c r="BAV1" s="186"/>
      <c r="BAW1" s="186"/>
      <c r="BAX1" s="186"/>
      <c r="BAY1" s="186"/>
      <c r="BAZ1" s="186"/>
      <c r="BBA1" s="186"/>
      <c r="BBB1" s="186"/>
      <c r="BBC1" s="186"/>
      <c r="BBD1" s="186"/>
      <c r="BBE1" s="186"/>
      <c r="BBF1" s="186"/>
      <c r="BBG1" s="186"/>
      <c r="BBH1" s="186"/>
      <c r="BBI1" s="186"/>
      <c r="BBJ1" s="186"/>
      <c r="BBK1" s="186"/>
      <c r="BBL1" s="186"/>
      <c r="BBM1" s="186"/>
      <c r="BBN1" s="186"/>
      <c r="BBO1" s="186"/>
      <c r="BBP1" s="186"/>
      <c r="BBQ1" s="186"/>
      <c r="BBR1" s="186"/>
      <c r="BBS1" s="186"/>
      <c r="BBT1" s="186"/>
      <c r="BBU1" s="186"/>
      <c r="BBV1" s="186"/>
      <c r="BBW1" s="186"/>
      <c r="BBX1" s="186"/>
      <c r="BBY1" s="186"/>
      <c r="BBZ1" s="186"/>
      <c r="BCA1" s="186"/>
      <c r="BCB1" s="186"/>
      <c r="BCC1" s="186"/>
      <c r="BCD1" s="186"/>
      <c r="BCE1" s="186"/>
      <c r="BCF1" s="186"/>
      <c r="BCG1" s="186"/>
      <c r="BCH1" s="186"/>
      <c r="BCI1" s="186"/>
      <c r="BCJ1" s="186"/>
      <c r="BCK1" s="186"/>
      <c r="BCL1" s="186"/>
      <c r="BCM1" s="186"/>
      <c r="BCN1" s="186"/>
      <c r="BCO1" s="186"/>
      <c r="BCP1" s="186"/>
      <c r="BCQ1" s="186"/>
      <c r="BCR1" s="186"/>
      <c r="BCS1" s="186"/>
      <c r="BCT1" s="186"/>
      <c r="BCU1" s="186"/>
      <c r="BCV1" s="186"/>
      <c r="BCW1" s="186"/>
      <c r="BCX1" s="186"/>
      <c r="BCY1" s="186"/>
      <c r="BCZ1" s="186"/>
      <c r="BDA1" s="186"/>
      <c r="BDB1" s="186"/>
      <c r="BDC1" s="186"/>
      <c r="BDD1" s="186"/>
      <c r="BDE1" s="186"/>
      <c r="BDF1" s="186"/>
      <c r="BDG1" s="186"/>
      <c r="BDH1" s="186"/>
      <c r="BDI1" s="186"/>
      <c r="BDJ1" s="186"/>
      <c r="BDK1" s="186"/>
      <c r="BDL1" s="186"/>
      <c r="BDM1" s="186"/>
      <c r="BDN1" s="186"/>
      <c r="BDO1" s="186"/>
      <c r="BDP1" s="186"/>
      <c r="BDQ1" s="186"/>
      <c r="BDR1" s="186"/>
      <c r="BDS1" s="186"/>
      <c r="BDT1" s="186"/>
      <c r="BDU1" s="186"/>
      <c r="BDV1" s="186"/>
      <c r="BDW1" s="186"/>
      <c r="BDX1" s="186"/>
      <c r="BDY1" s="186"/>
      <c r="BDZ1" s="186"/>
      <c r="BEA1" s="186"/>
      <c r="BEB1" s="186"/>
      <c r="BEC1" s="186"/>
      <c r="BED1" s="186"/>
      <c r="BEE1" s="186"/>
      <c r="BEF1" s="186"/>
      <c r="BEG1" s="186"/>
      <c r="BEH1" s="186"/>
      <c r="BEI1" s="186"/>
      <c r="BEJ1" s="186"/>
      <c r="BEK1" s="186"/>
      <c r="BEL1" s="186"/>
      <c r="BEM1" s="186"/>
      <c r="BEN1" s="186"/>
      <c r="BEO1" s="186"/>
      <c r="BEP1" s="186"/>
      <c r="BEQ1" s="186"/>
      <c r="BER1" s="186"/>
      <c r="BES1" s="186"/>
      <c r="BET1" s="186"/>
      <c r="BEU1" s="186"/>
      <c r="BEV1" s="186"/>
      <c r="BEW1" s="186"/>
      <c r="BEX1" s="186"/>
      <c r="BEY1" s="186"/>
      <c r="BEZ1" s="186"/>
      <c r="BFA1" s="186"/>
      <c r="BFB1" s="186"/>
      <c r="BFC1" s="186"/>
      <c r="BFD1" s="186"/>
      <c r="BFE1" s="186"/>
      <c r="BFF1" s="186"/>
      <c r="BFG1" s="186"/>
      <c r="BFH1" s="186"/>
      <c r="BFI1" s="186"/>
      <c r="BFJ1" s="186"/>
      <c r="BFK1" s="186"/>
      <c r="BFL1" s="186"/>
      <c r="BFM1" s="186"/>
      <c r="BFN1" s="186"/>
      <c r="BFO1" s="186"/>
      <c r="BFP1" s="186"/>
      <c r="BFQ1" s="186"/>
      <c r="BFR1" s="186"/>
      <c r="BFS1" s="186"/>
      <c r="BFT1" s="186"/>
      <c r="BFU1" s="186"/>
      <c r="BFV1" s="186"/>
      <c r="BFW1" s="186"/>
      <c r="BFX1" s="186"/>
      <c r="BFY1" s="186"/>
      <c r="BFZ1" s="186"/>
      <c r="BGA1" s="186"/>
      <c r="BGB1" s="186"/>
      <c r="BGC1" s="186"/>
      <c r="BGD1" s="186"/>
      <c r="BGE1" s="186"/>
      <c r="BGF1" s="186"/>
      <c r="BGG1" s="186"/>
      <c r="BGH1" s="186"/>
      <c r="BGI1" s="186"/>
      <c r="BGJ1" s="186"/>
      <c r="BGK1" s="186"/>
      <c r="BGL1" s="186"/>
      <c r="BGM1" s="186"/>
      <c r="BGN1" s="186"/>
      <c r="BGO1" s="186"/>
      <c r="BGP1" s="186"/>
      <c r="BGQ1" s="186"/>
      <c r="BGR1" s="186"/>
      <c r="BGS1" s="186"/>
      <c r="BGT1" s="186"/>
      <c r="BGU1" s="186"/>
      <c r="BGV1" s="186"/>
      <c r="BGW1" s="186"/>
      <c r="BGX1" s="186"/>
      <c r="BGY1" s="186"/>
      <c r="BGZ1" s="186"/>
      <c r="BHA1" s="186"/>
      <c r="BHB1" s="186"/>
      <c r="BHC1" s="186"/>
      <c r="BHD1" s="186"/>
      <c r="BHE1" s="186"/>
      <c r="BHF1" s="186"/>
      <c r="BHG1" s="186"/>
      <c r="BHH1" s="186"/>
      <c r="BHI1" s="186"/>
      <c r="BHJ1" s="186"/>
      <c r="BHK1" s="186"/>
      <c r="BHL1" s="186"/>
      <c r="BHM1" s="186"/>
      <c r="BHN1" s="186"/>
      <c r="BHO1" s="186"/>
      <c r="BHP1" s="186"/>
      <c r="BHQ1" s="186"/>
      <c r="BHR1" s="186"/>
      <c r="BHS1" s="186"/>
      <c r="BHT1" s="186"/>
      <c r="BHU1" s="186"/>
      <c r="BHV1" s="186"/>
      <c r="BHW1" s="186"/>
      <c r="BHX1" s="186"/>
      <c r="BHY1" s="186"/>
      <c r="BHZ1" s="186"/>
      <c r="BIA1" s="186"/>
      <c r="BIB1" s="186"/>
      <c r="BIC1" s="186"/>
      <c r="BID1" s="186"/>
      <c r="BIE1" s="186"/>
      <c r="BIF1" s="186"/>
      <c r="BIG1" s="186"/>
      <c r="BIH1" s="186"/>
      <c r="BII1" s="186"/>
      <c r="BIJ1" s="186"/>
      <c r="BIK1" s="186"/>
      <c r="BIL1" s="186"/>
      <c r="BIM1" s="186"/>
      <c r="BIN1" s="186"/>
      <c r="BIO1" s="186"/>
      <c r="BIP1" s="186"/>
      <c r="BIQ1" s="186"/>
      <c r="BIR1" s="186"/>
      <c r="BIS1" s="186"/>
      <c r="BIT1" s="186"/>
      <c r="BIU1" s="186"/>
      <c r="BIV1" s="186"/>
      <c r="BIW1" s="186"/>
      <c r="BIX1" s="186"/>
      <c r="BIY1" s="186"/>
      <c r="BIZ1" s="186"/>
      <c r="BJA1" s="186"/>
      <c r="BJB1" s="186"/>
      <c r="BJC1" s="186"/>
      <c r="BJD1" s="186"/>
      <c r="BJE1" s="186"/>
      <c r="BJF1" s="186"/>
      <c r="BJG1" s="186"/>
      <c r="BJH1" s="186"/>
      <c r="BJI1" s="186"/>
      <c r="BJJ1" s="186"/>
      <c r="BJK1" s="186"/>
      <c r="BJL1" s="186"/>
      <c r="BJM1" s="186"/>
      <c r="BJN1" s="186"/>
      <c r="BJO1" s="186"/>
      <c r="BJP1" s="186"/>
      <c r="BJQ1" s="186"/>
      <c r="BJR1" s="186"/>
      <c r="BJS1" s="186"/>
      <c r="BJT1" s="186"/>
      <c r="BJU1" s="186"/>
      <c r="BJV1" s="186"/>
      <c r="BJW1" s="186"/>
      <c r="BJX1" s="186"/>
      <c r="BJY1" s="186"/>
      <c r="BJZ1" s="186"/>
      <c r="BKA1" s="186"/>
      <c r="BKB1" s="186"/>
      <c r="BKC1" s="186"/>
      <c r="BKD1" s="186"/>
      <c r="BKE1" s="186"/>
      <c r="BKF1" s="186"/>
      <c r="BKG1" s="186"/>
      <c r="BKH1" s="186"/>
      <c r="BKI1" s="186"/>
      <c r="BKJ1" s="186"/>
      <c r="BKK1" s="186"/>
      <c r="BKL1" s="186"/>
      <c r="BKM1" s="186"/>
      <c r="BKN1" s="186"/>
      <c r="BKO1" s="186"/>
      <c r="BKP1" s="186"/>
      <c r="BKQ1" s="186"/>
      <c r="BKR1" s="186"/>
      <c r="BKS1" s="186"/>
      <c r="BKT1" s="186"/>
      <c r="BKU1" s="186"/>
      <c r="BKV1" s="186"/>
      <c r="BKW1" s="186"/>
      <c r="BKX1" s="186"/>
      <c r="BKY1" s="186"/>
      <c r="BKZ1" s="186"/>
      <c r="BLA1" s="186"/>
      <c r="BLB1" s="186"/>
      <c r="BLC1" s="186"/>
      <c r="BLD1" s="186"/>
      <c r="BLE1" s="186"/>
      <c r="BLF1" s="186"/>
      <c r="BLG1" s="186"/>
      <c r="BLH1" s="186"/>
      <c r="BLI1" s="186"/>
      <c r="BLJ1" s="186"/>
      <c r="BLK1" s="186"/>
      <c r="BLL1" s="186"/>
      <c r="BLM1" s="186"/>
      <c r="BLN1" s="186"/>
      <c r="BLO1" s="186"/>
      <c r="BLP1" s="186"/>
      <c r="BLQ1" s="186"/>
      <c r="BLR1" s="186"/>
      <c r="BLS1" s="186"/>
      <c r="BLT1" s="186"/>
      <c r="BLU1" s="186"/>
      <c r="BLV1" s="186"/>
      <c r="BLW1" s="186"/>
      <c r="BLX1" s="186"/>
      <c r="BLY1" s="186"/>
      <c r="BLZ1" s="186"/>
      <c r="BMA1" s="186"/>
      <c r="BMB1" s="186"/>
      <c r="BMC1" s="186"/>
      <c r="BMD1" s="186"/>
      <c r="BME1" s="186"/>
      <c r="BMF1" s="186"/>
      <c r="BMG1" s="186"/>
      <c r="BMH1" s="186"/>
      <c r="BMI1" s="186"/>
      <c r="BMJ1" s="186"/>
      <c r="BMK1" s="186"/>
      <c r="BML1" s="186"/>
      <c r="BMM1" s="186"/>
      <c r="BMN1" s="186"/>
      <c r="BMO1" s="186"/>
      <c r="BMP1" s="186"/>
      <c r="BMQ1" s="186"/>
      <c r="BMR1" s="186"/>
      <c r="BMS1" s="186"/>
      <c r="BMT1" s="186"/>
      <c r="BMU1" s="186"/>
      <c r="BMV1" s="186"/>
      <c r="BMW1" s="186"/>
      <c r="BMX1" s="186"/>
      <c r="BMY1" s="186"/>
      <c r="BMZ1" s="186"/>
      <c r="BNA1" s="186"/>
      <c r="BNB1" s="186"/>
      <c r="BNC1" s="186"/>
      <c r="BND1" s="186"/>
      <c r="BNE1" s="186"/>
      <c r="BNF1" s="186"/>
      <c r="BNG1" s="186"/>
      <c r="BNH1" s="186"/>
      <c r="BNI1" s="186"/>
      <c r="BNJ1" s="186"/>
      <c r="BNK1" s="186"/>
      <c r="BNL1" s="186"/>
      <c r="BNM1" s="186"/>
      <c r="BNN1" s="186"/>
      <c r="BNO1" s="186"/>
      <c r="BNP1" s="186"/>
      <c r="BNQ1" s="186"/>
      <c r="BNR1" s="186"/>
      <c r="BNS1" s="186"/>
      <c r="BNT1" s="186"/>
      <c r="BNU1" s="186"/>
      <c r="BNV1" s="186"/>
      <c r="BNW1" s="186"/>
      <c r="BNX1" s="186"/>
      <c r="BNY1" s="186"/>
      <c r="BNZ1" s="186"/>
      <c r="BOA1" s="186"/>
      <c r="BOB1" s="186"/>
      <c r="BOC1" s="186"/>
      <c r="BOD1" s="186"/>
      <c r="BOE1" s="186"/>
      <c r="BOF1" s="186"/>
      <c r="BOG1" s="186"/>
      <c r="BOH1" s="186"/>
      <c r="BOI1" s="186"/>
      <c r="BOJ1" s="186"/>
      <c r="BOK1" s="186"/>
      <c r="BOL1" s="186"/>
      <c r="BOM1" s="186"/>
      <c r="BON1" s="186"/>
      <c r="BOO1" s="186"/>
      <c r="BOP1" s="186"/>
      <c r="BOQ1" s="186"/>
      <c r="BOR1" s="186"/>
      <c r="BOS1" s="186"/>
      <c r="BOT1" s="186"/>
      <c r="BOU1" s="186"/>
      <c r="BOV1" s="186"/>
      <c r="BOW1" s="186"/>
      <c r="BOX1" s="186"/>
      <c r="BOY1" s="186"/>
      <c r="BOZ1" s="186"/>
      <c r="BPA1" s="186"/>
      <c r="BPB1" s="186"/>
      <c r="BPC1" s="186"/>
      <c r="BPD1" s="186"/>
      <c r="BPE1" s="186"/>
      <c r="BPF1" s="186"/>
      <c r="BPG1" s="186"/>
      <c r="BPH1" s="186"/>
      <c r="BPI1" s="186"/>
      <c r="BPJ1" s="186"/>
      <c r="BPK1" s="186"/>
      <c r="BPL1" s="186"/>
      <c r="BPM1" s="186"/>
      <c r="BPN1" s="186"/>
      <c r="BPO1" s="186"/>
      <c r="BPP1" s="186"/>
      <c r="BPQ1" s="186"/>
      <c r="BPR1" s="186"/>
      <c r="BPS1" s="186"/>
      <c r="BPT1" s="186"/>
      <c r="BPU1" s="186"/>
      <c r="BPV1" s="186"/>
      <c r="BPW1" s="186"/>
      <c r="BPX1" s="186"/>
      <c r="BPY1" s="186"/>
      <c r="BPZ1" s="186"/>
      <c r="BQA1" s="186"/>
      <c r="BQB1" s="186"/>
      <c r="BQC1" s="186"/>
      <c r="BQD1" s="186"/>
      <c r="BQE1" s="186"/>
      <c r="BQF1" s="186"/>
      <c r="BQG1" s="186"/>
      <c r="BQH1" s="186"/>
      <c r="BQI1" s="186"/>
      <c r="BQJ1" s="186"/>
      <c r="BQK1" s="186"/>
      <c r="BQL1" s="186"/>
      <c r="BQM1" s="186"/>
      <c r="BQN1" s="186"/>
      <c r="BQO1" s="186"/>
      <c r="BQP1" s="186"/>
      <c r="BQQ1" s="186"/>
      <c r="BQR1" s="186"/>
      <c r="BQS1" s="186"/>
      <c r="BQT1" s="186"/>
      <c r="BQU1" s="186"/>
      <c r="BQV1" s="186"/>
      <c r="BQW1" s="186"/>
      <c r="BQX1" s="186"/>
      <c r="BQY1" s="186"/>
      <c r="BQZ1" s="186"/>
      <c r="BRA1" s="186"/>
      <c r="BRB1" s="186"/>
      <c r="BRC1" s="186"/>
      <c r="BRD1" s="186"/>
      <c r="BRE1" s="186"/>
      <c r="BRF1" s="186"/>
      <c r="BRG1" s="186"/>
      <c r="BRH1" s="186"/>
      <c r="BRI1" s="186"/>
      <c r="BRJ1" s="186"/>
      <c r="BRK1" s="186"/>
      <c r="BRL1" s="186"/>
      <c r="BRM1" s="186"/>
      <c r="BRN1" s="186"/>
      <c r="BRO1" s="186"/>
      <c r="BRP1" s="186"/>
      <c r="BRQ1" s="186"/>
      <c r="BRR1" s="186"/>
      <c r="BRS1" s="186"/>
      <c r="BRT1" s="186"/>
      <c r="BRU1" s="186"/>
      <c r="BRV1" s="186"/>
      <c r="BRW1" s="186"/>
      <c r="BRX1" s="186"/>
      <c r="BRY1" s="186"/>
      <c r="BRZ1" s="186"/>
      <c r="BSA1" s="186"/>
      <c r="BSB1" s="186"/>
      <c r="BSC1" s="186"/>
      <c r="BSD1" s="186"/>
      <c r="BSE1" s="186"/>
      <c r="BSF1" s="186"/>
      <c r="BSG1" s="186"/>
      <c r="BSH1" s="186"/>
      <c r="BSI1" s="186"/>
      <c r="BSJ1" s="186"/>
      <c r="BSK1" s="186"/>
      <c r="BSL1" s="186"/>
      <c r="BSM1" s="186"/>
      <c r="BSN1" s="186"/>
      <c r="BSO1" s="186"/>
      <c r="BSP1" s="186"/>
      <c r="BSQ1" s="186"/>
      <c r="BSR1" s="186"/>
      <c r="BSS1" s="186"/>
      <c r="BST1" s="186"/>
      <c r="BSU1" s="186"/>
      <c r="BSV1" s="186"/>
      <c r="BSW1" s="186"/>
      <c r="BSX1" s="186"/>
      <c r="BSY1" s="186"/>
      <c r="BSZ1" s="186"/>
      <c r="BTA1" s="186"/>
      <c r="BTB1" s="186"/>
      <c r="BTC1" s="186"/>
      <c r="BTD1" s="186"/>
      <c r="BTE1" s="186"/>
      <c r="BTF1" s="186"/>
      <c r="BTG1" s="186"/>
      <c r="BTH1" s="186"/>
      <c r="BTI1" s="186"/>
      <c r="BTJ1" s="186"/>
      <c r="BTK1" s="186"/>
      <c r="BTL1" s="186"/>
      <c r="BTM1" s="186"/>
      <c r="BTN1" s="186"/>
      <c r="BTO1" s="186"/>
      <c r="BTP1" s="186"/>
      <c r="BTQ1" s="186"/>
      <c r="BTR1" s="186"/>
      <c r="BTS1" s="186"/>
      <c r="BTT1" s="186"/>
      <c r="BTU1" s="186"/>
      <c r="BTV1" s="186"/>
      <c r="BTW1" s="186"/>
      <c r="BTX1" s="186"/>
      <c r="BTY1" s="186"/>
      <c r="BTZ1" s="186"/>
      <c r="BUA1" s="186"/>
      <c r="BUB1" s="186"/>
      <c r="BUC1" s="186"/>
      <c r="BUD1" s="186"/>
      <c r="BUE1" s="186"/>
      <c r="BUF1" s="186"/>
      <c r="BUG1" s="186"/>
      <c r="BUH1" s="186"/>
      <c r="BUI1" s="186"/>
      <c r="BUJ1" s="186"/>
      <c r="BUK1" s="186"/>
      <c r="BUL1" s="186"/>
      <c r="BUM1" s="186"/>
      <c r="BUN1" s="186"/>
      <c r="BUO1" s="186"/>
      <c r="BUP1" s="186"/>
      <c r="BUQ1" s="186"/>
      <c r="BUR1" s="186"/>
      <c r="BUS1" s="186"/>
      <c r="BUT1" s="186"/>
      <c r="BUU1" s="186"/>
      <c r="BUV1" s="186"/>
      <c r="BUW1" s="186"/>
      <c r="BUX1" s="186"/>
      <c r="BUY1" s="186"/>
      <c r="BUZ1" s="186"/>
      <c r="BVA1" s="186"/>
      <c r="BVB1" s="186"/>
      <c r="BVC1" s="186"/>
      <c r="BVD1" s="186"/>
      <c r="BVE1" s="186"/>
      <c r="BVF1" s="186"/>
      <c r="BVG1" s="186"/>
      <c r="BVH1" s="186"/>
      <c r="BVI1" s="186"/>
      <c r="BVJ1" s="186"/>
      <c r="BVK1" s="186"/>
      <c r="BVL1" s="186"/>
      <c r="BVM1" s="186"/>
      <c r="BVN1" s="186"/>
      <c r="BVO1" s="186"/>
      <c r="BVP1" s="186"/>
      <c r="BVQ1" s="186"/>
      <c r="BVR1" s="186"/>
      <c r="BVS1" s="186"/>
      <c r="BVT1" s="186"/>
      <c r="BVU1" s="186"/>
      <c r="BVV1" s="186"/>
      <c r="BVW1" s="186"/>
      <c r="BVX1" s="186"/>
      <c r="BVY1" s="186"/>
      <c r="BVZ1" s="186"/>
      <c r="BWA1" s="186"/>
      <c r="BWB1" s="186"/>
      <c r="BWC1" s="186"/>
      <c r="BWD1" s="186"/>
      <c r="BWE1" s="186"/>
      <c r="BWF1" s="186"/>
      <c r="BWG1" s="186"/>
      <c r="BWH1" s="186"/>
      <c r="BWI1" s="186"/>
      <c r="BWJ1" s="186"/>
      <c r="BWK1" s="186"/>
      <c r="BWL1" s="186"/>
      <c r="BWM1" s="186"/>
      <c r="BWN1" s="186"/>
      <c r="BWO1" s="186"/>
      <c r="BWP1" s="186"/>
      <c r="BWQ1" s="186"/>
      <c r="BWR1" s="186"/>
      <c r="BWS1" s="186"/>
      <c r="BWT1" s="186"/>
      <c r="BWU1" s="186"/>
      <c r="BWV1" s="186"/>
      <c r="BWW1" s="186"/>
      <c r="BWX1" s="186"/>
      <c r="BWY1" s="186"/>
      <c r="BWZ1" s="186"/>
      <c r="BXA1" s="186"/>
      <c r="BXB1" s="186"/>
      <c r="BXC1" s="186"/>
      <c r="BXD1" s="186"/>
      <c r="BXE1" s="186"/>
      <c r="BXF1" s="186"/>
      <c r="BXG1" s="186"/>
      <c r="BXH1" s="186"/>
      <c r="BXI1" s="186"/>
      <c r="BXJ1" s="186"/>
      <c r="BXK1" s="186"/>
      <c r="BXL1" s="186"/>
      <c r="BXM1" s="186"/>
      <c r="BXN1" s="186"/>
      <c r="BXO1" s="186"/>
      <c r="BXP1" s="186"/>
      <c r="BXQ1" s="186"/>
      <c r="BXR1" s="186"/>
      <c r="BXS1" s="186"/>
      <c r="BXT1" s="186"/>
      <c r="BXU1" s="186"/>
      <c r="BXV1" s="186"/>
      <c r="BXW1" s="186"/>
      <c r="BXX1" s="186"/>
      <c r="BXY1" s="186"/>
      <c r="BXZ1" s="186"/>
      <c r="BYA1" s="186"/>
      <c r="BYB1" s="186"/>
      <c r="BYC1" s="186"/>
      <c r="BYD1" s="186"/>
      <c r="BYE1" s="186"/>
      <c r="BYF1" s="186"/>
      <c r="BYG1" s="186"/>
      <c r="BYH1" s="186"/>
      <c r="BYI1" s="186"/>
      <c r="BYJ1" s="186"/>
      <c r="BYK1" s="186"/>
      <c r="BYL1" s="186"/>
      <c r="BYM1" s="186"/>
      <c r="BYN1" s="186"/>
      <c r="BYO1" s="186"/>
      <c r="BYP1" s="186"/>
      <c r="BYQ1" s="186"/>
      <c r="BYR1" s="186"/>
      <c r="BYS1" s="186"/>
      <c r="BYT1" s="186"/>
      <c r="BYU1" s="186"/>
      <c r="BYV1" s="186"/>
      <c r="BYW1" s="186"/>
      <c r="BYX1" s="186"/>
      <c r="BYY1" s="186"/>
      <c r="BYZ1" s="186"/>
      <c r="BZA1" s="186"/>
      <c r="BZB1" s="186"/>
      <c r="BZC1" s="186"/>
      <c r="BZD1" s="186"/>
      <c r="BZE1" s="186"/>
      <c r="BZF1" s="186"/>
      <c r="BZG1" s="186"/>
      <c r="BZH1" s="186"/>
      <c r="BZI1" s="186"/>
      <c r="BZJ1" s="186"/>
      <c r="BZK1" s="186"/>
      <c r="BZL1" s="186"/>
      <c r="BZM1" s="186"/>
      <c r="BZN1" s="186"/>
      <c r="BZO1" s="186"/>
      <c r="BZP1" s="186"/>
      <c r="BZQ1" s="186"/>
      <c r="BZR1" s="186"/>
      <c r="BZS1" s="186"/>
      <c r="BZT1" s="186"/>
      <c r="BZU1" s="186"/>
      <c r="BZV1" s="186"/>
      <c r="BZW1" s="186"/>
      <c r="BZX1" s="186"/>
      <c r="BZY1" s="186"/>
      <c r="BZZ1" s="186"/>
      <c r="CAA1" s="186"/>
      <c r="CAB1" s="186"/>
      <c r="CAC1" s="186"/>
      <c r="CAD1" s="186"/>
      <c r="CAE1" s="186"/>
      <c r="CAF1" s="186"/>
      <c r="CAG1" s="186"/>
      <c r="CAH1" s="186"/>
      <c r="CAI1" s="186"/>
      <c r="CAJ1" s="186"/>
      <c r="CAK1" s="186"/>
      <c r="CAL1" s="186"/>
      <c r="CAM1" s="186"/>
      <c r="CAN1" s="186"/>
      <c r="CAO1" s="186"/>
      <c r="CAP1" s="186"/>
      <c r="CAQ1" s="186"/>
      <c r="CAR1" s="186"/>
      <c r="CAS1" s="186"/>
      <c r="CAT1" s="186"/>
      <c r="CAU1" s="186"/>
      <c r="CAV1" s="186"/>
      <c r="CAW1" s="186"/>
      <c r="CAX1" s="186"/>
      <c r="CAY1" s="186"/>
      <c r="CAZ1" s="186"/>
      <c r="CBA1" s="186"/>
      <c r="CBB1" s="186"/>
      <c r="CBC1" s="186"/>
      <c r="CBD1" s="186"/>
      <c r="CBE1" s="186"/>
      <c r="CBF1" s="186"/>
      <c r="CBG1" s="186"/>
      <c r="CBH1" s="186"/>
      <c r="CBI1" s="186"/>
      <c r="CBJ1" s="186"/>
      <c r="CBK1" s="186"/>
      <c r="CBL1" s="186"/>
      <c r="CBM1" s="186"/>
      <c r="CBN1" s="186"/>
      <c r="CBO1" s="186"/>
      <c r="CBP1" s="186"/>
      <c r="CBQ1" s="186"/>
      <c r="CBR1" s="186"/>
      <c r="CBS1" s="186"/>
      <c r="CBT1" s="186"/>
      <c r="CBU1" s="186"/>
      <c r="CBV1" s="186"/>
      <c r="CBW1" s="186"/>
      <c r="CBX1" s="186"/>
      <c r="CBY1" s="186"/>
      <c r="CBZ1" s="186"/>
      <c r="CCA1" s="186"/>
      <c r="CCB1" s="186"/>
      <c r="CCC1" s="186"/>
      <c r="CCD1" s="186"/>
      <c r="CCE1" s="186"/>
      <c r="CCF1" s="186"/>
      <c r="CCG1" s="186"/>
      <c r="CCH1" s="186"/>
      <c r="CCI1" s="186"/>
      <c r="CCJ1" s="186"/>
      <c r="CCK1" s="186"/>
      <c r="CCL1" s="186"/>
      <c r="CCM1" s="186"/>
      <c r="CCN1" s="186"/>
      <c r="CCO1" s="186"/>
      <c r="CCP1" s="186"/>
      <c r="CCQ1" s="186"/>
      <c r="CCR1" s="186"/>
      <c r="CCS1" s="186"/>
      <c r="CCT1" s="186"/>
      <c r="CCU1" s="186"/>
      <c r="CCV1" s="186"/>
      <c r="CCW1" s="186"/>
      <c r="CCX1" s="186"/>
      <c r="CCY1" s="186"/>
      <c r="CCZ1" s="186"/>
      <c r="CDA1" s="186"/>
      <c r="CDB1" s="186"/>
      <c r="CDC1" s="186"/>
      <c r="CDD1" s="186"/>
      <c r="CDE1" s="186"/>
      <c r="CDF1" s="186"/>
      <c r="CDG1" s="186"/>
      <c r="CDH1" s="186"/>
      <c r="CDI1" s="186"/>
      <c r="CDJ1" s="186"/>
      <c r="CDK1" s="186"/>
      <c r="CDL1" s="186"/>
      <c r="CDM1" s="186"/>
      <c r="CDN1" s="186"/>
      <c r="CDO1" s="186"/>
      <c r="CDP1" s="186"/>
      <c r="CDQ1" s="186"/>
      <c r="CDR1" s="186"/>
      <c r="CDS1" s="186"/>
      <c r="CDT1" s="186"/>
      <c r="CDU1" s="186"/>
      <c r="CDV1" s="186"/>
      <c r="CDW1" s="186"/>
      <c r="CDX1" s="186"/>
      <c r="CDY1" s="186"/>
      <c r="CDZ1" s="186"/>
      <c r="CEA1" s="186"/>
      <c r="CEB1" s="186"/>
      <c r="CEC1" s="186"/>
      <c r="CED1" s="186"/>
      <c r="CEE1" s="186"/>
      <c r="CEF1" s="186"/>
      <c r="CEG1" s="186"/>
      <c r="CEH1" s="186"/>
      <c r="CEI1" s="186"/>
      <c r="CEJ1" s="186"/>
      <c r="CEK1" s="186"/>
      <c r="CEL1" s="186"/>
      <c r="CEM1" s="186"/>
      <c r="CEN1" s="186"/>
      <c r="CEO1" s="186"/>
      <c r="CEP1" s="186"/>
      <c r="CEQ1" s="186"/>
      <c r="CER1" s="186"/>
      <c r="CES1" s="186"/>
      <c r="CET1" s="186"/>
      <c r="CEU1" s="186"/>
      <c r="CEV1" s="186"/>
      <c r="CEW1" s="186"/>
      <c r="CEX1" s="186"/>
      <c r="CEY1" s="186"/>
      <c r="CEZ1" s="186"/>
      <c r="CFA1" s="186"/>
      <c r="CFB1" s="186"/>
      <c r="CFC1" s="186"/>
      <c r="CFD1" s="186"/>
      <c r="CFE1" s="186"/>
      <c r="CFF1" s="186"/>
      <c r="CFG1" s="186"/>
      <c r="CFH1" s="186"/>
      <c r="CFI1" s="186"/>
      <c r="CFJ1" s="186"/>
      <c r="CFK1" s="186"/>
      <c r="CFL1" s="186"/>
      <c r="CFM1" s="186"/>
      <c r="CFN1" s="186"/>
      <c r="CFO1" s="186"/>
      <c r="CFP1" s="186"/>
      <c r="CFQ1" s="186"/>
      <c r="CFR1" s="186"/>
      <c r="CFS1" s="186"/>
      <c r="CFT1" s="186"/>
      <c r="CFU1" s="186"/>
      <c r="CFV1" s="186"/>
      <c r="CFW1" s="186"/>
      <c r="CFX1" s="186"/>
      <c r="CFY1" s="186"/>
      <c r="CFZ1" s="186"/>
      <c r="CGA1" s="186"/>
      <c r="CGB1" s="186"/>
      <c r="CGC1" s="186"/>
      <c r="CGD1" s="186"/>
      <c r="CGE1" s="186"/>
      <c r="CGF1" s="186"/>
      <c r="CGG1" s="186"/>
      <c r="CGH1" s="186"/>
      <c r="CGI1" s="186"/>
      <c r="CGJ1" s="186"/>
      <c r="CGK1" s="186"/>
      <c r="CGL1" s="186"/>
      <c r="CGM1" s="186"/>
      <c r="CGN1" s="186"/>
      <c r="CGO1" s="186"/>
      <c r="CGP1" s="186"/>
      <c r="CGQ1" s="186"/>
      <c r="CGR1" s="186"/>
      <c r="CGS1" s="186"/>
      <c r="CGT1" s="186"/>
      <c r="CGU1" s="186"/>
      <c r="CGV1" s="186"/>
      <c r="CGW1" s="186"/>
      <c r="CGX1" s="186"/>
      <c r="CGY1" s="186"/>
      <c r="CGZ1" s="186"/>
      <c r="CHA1" s="186"/>
      <c r="CHB1" s="186"/>
      <c r="CHC1" s="186"/>
      <c r="CHD1" s="186"/>
      <c r="CHE1" s="186"/>
      <c r="CHF1" s="186"/>
      <c r="CHG1" s="186"/>
      <c r="CHH1" s="186"/>
      <c r="CHI1" s="186"/>
      <c r="CHJ1" s="186"/>
      <c r="CHK1" s="186"/>
      <c r="CHL1" s="186"/>
      <c r="CHM1" s="186"/>
      <c r="CHN1" s="186"/>
      <c r="CHO1" s="186"/>
      <c r="CHP1" s="186"/>
      <c r="CHQ1" s="186"/>
      <c r="CHR1" s="186"/>
      <c r="CHS1" s="186"/>
      <c r="CHT1" s="186"/>
      <c r="CHU1" s="186"/>
      <c r="CHV1" s="186"/>
      <c r="CHW1" s="186"/>
      <c r="CHX1" s="186"/>
      <c r="CHY1" s="186"/>
      <c r="CHZ1" s="186"/>
      <c r="CIA1" s="186"/>
      <c r="CIB1" s="186"/>
      <c r="CIC1" s="186"/>
      <c r="CID1" s="186"/>
      <c r="CIE1" s="186"/>
      <c r="CIF1" s="186"/>
      <c r="CIG1" s="186"/>
      <c r="CIH1" s="186"/>
      <c r="CII1" s="186"/>
      <c r="CIJ1" s="186"/>
      <c r="CIK1" s="186"/>
      <c r="CIL1" s="186"/>
      <c r="CIM1" s="186"/>
      <c r="CIN1" s="186"/>
      <c r="CIO1" s="186"/>
      <c r="CIP1" s="186"/>
      <c r="CIQ1" s="186"/>
      <c r="CIR1" s="186"/>
      <c r="CIS1" s="186"/>
      <c r="CIT1" s="186"/>
      <c r="CIU1" s="186"/>
      <c r="CIV1" s="186"/>
      <c r="CIW1" s="186"/>
      <c r="CIX1" s="186"/>
      <c r="CIY1" s="186"/>
      <c r="CIZ1" s="186"/>
      <c r="CJA1" s="186"/>
      <c r="CJB1" s="186"/>
      <c r="CJC1" s="186"/>
      <c r="CJD1" s="186"/>
      <c r="CJE1" s="186"/>
      <c r="CJF1" s="186"/>
      <c r="CJG1" s="186"/>
      <c r="CJH1" s="186"/>
      <c r="CJI1" s="186"/>
      <c r="CJJ1" s="186"/>
      <c r="CJK1" s="186"/>
      <c r="CJL1" s="186"/>
      <c r="CJM1" s="186"/>
      <c r="CJN1" s="186"/>
      <c r="CJO1" s="186"/>
      <c r="CJP1" s="186"/>
      <c r="CJQ1" s="186"/>
      <c r="CJR1" s="186"/>
      <c r="CJS1" s="186"/>
      <c r="CJT1" s="186"/>
      <c r="CJU1" s="186"/>
      <c r="CJV1" s="186"/>
      <c r="CJW1" s="186"/>
      <c r="CJX1" s="186"/>
      <c r="CJY1" s="186"/>
      <c r="CJZ1" s="186"/>
      <c r="CKA1" s="186"/>
      <c r="CKB1" s="186"/>
      <c r="CKC1" s="186"/>
      <c r="CKD1" s="186"/>
      <c r="CKE1" s="186"/>
      <c r="CKF1" s="186"/>
      <c r="CKG1" s="186"/>
      <c r="CKH1" s="186"/>
      <c r="CKI1" s="186"/>
      <c r="CKJ1" s="186"/>
      <c r="CKK1" s="186"/>
      <c r="CKL1" s="186"/>
      <c r="CKM1" s="186"/>
      <c r="CKN1" s="186"/>
      <c r="CKO1" s="186"/>
      <c r="CKP1" s="186"/>
      <c r="CKQ1" s="186"/>
      <c r="CKR1" s="186"/>
      <c r="CKS1" s="186"/>
      <c r="CKT1" s="186"/>
      <c r="CKU1" s="186"/>
      <c r="CKV1" s="186"/>
      <c r="CKW1" s="186"/>
      <c r="CKX1" s="186"/>
      <c r="CKY1" s="186"/>
      <c r="CKZ1" s="186"/>
      <c r="CLA1" s="186"/>
      <c r="CLB1" s="186"/>
      <c r="CLC1" s="186"/>
      <c r="CLD1" s="186"/>
      <c r="CLE1" s="186"/>
      <c r="CLF1" s="186"/>
      <c r="CLG1" s="186"/>
      <c r="CLH1" s="186"/>
      <c r="CLI1" s="186"/>
      <c r="CLJ1" s="186"/>
      <c r="CLK1" s="186"/>
      <c r="CLL1" s="186"/>
      <c r="CLM1" s="186"/>
      <c r="CLN1" s="186"/>
      <c r="CLO1" s="186"/>
      <c r="CLP1" s="186"/>
      <c r="CLQ1" s="186"/>
      <c r="CLR1" s="186"/>
      <c r="CLS1" s="186"/>
      <c r="CLT1" s="186"/>
      <c r="CLU1" s="186"/>
      <c r="CLV1" s="186"/>
      <c r="CLW1" s="186"/>
      <c r="CLX1" s="186"/>
      <c r="CLY1" s="186"/>
      <c r="CLZ1" s="186"/>
      <c r="CMA1" s="186"/>
      <c r="CMB1" s="186"/>
      <c r="CMC1" s="186"/>
      <c r="CMD1" s="186"/>
      <c r="CME1" s="186"/>
      <c r="CMF1" s="186"/>
      <c r="CMG1" s="186"/>
      <c r="CMH1" s="186"/>
      <c r="CMI1" s="186"/>
      <c r="CMJ1" s="186"/>
      <c r="CMK1" s="186"/>
      <c r="CML1" s="186"/>
      <c r="CMM1" s="186"/>
      <c r="CMN1" s="186"/>
      <c r="CMO1" s="186"/>
      <c r="CMP1" s="186"/>
      <c r="CMQ1" s="186"/>
      <c r="CMR1" s="186"/>
      <c r="CMS1" s="186"/>
      <c r="CMT1" s="186"/>
      <c r="CMU1" s="186"/>
      <c r="CMV1" s="186"/>
      <c r="CMW1" s="186"/>
      <c r="CMX1" s="186"/>
      <c r="CMY1" s="186"/>
      <c r="CMZ1" s="186"/>
      <c r="CNA1" s="186"/>
      <c r="CNB1" s="186"/>
      <c r="CNC1" s="186"/>
      <c r="CND1" s="186"/>
      <c r="CNE1" s="186"/>
      <c r="CNF1" s="186"/>
      <c r="CNG1" s="186"/>
      <c r="CNH1" s="186"/>
      <c r="CNI1" s="186"/>
      <c r="CNJ1" s="186"/>
      <c r="CNK1" s="186"/>
      <c r="CNL1" s="186"/>
      <c r="CNM1" s="186"/>
      <c r="CNN1" s="186"/>
      <c r="CNO1" s="186"/>
      <c r="CNP1" s="186"/>
      <c r="CNQ1" s="186"/>
      <c r="CNR1" s="186"/>
      <c r="CNS1" s="186"/>
      <c r="CNT1" s="186"/>
      <c r="CNU1" s="186"/>
      <c r="CNV1" s="186"/>
      <c r="CNW1" s="186"/>
      <c r="CNX1" s="186"/>
      <c r="CNY1" s="186"/>
      <c r="CNZ1" s="186"/>
      <c r="COA1" s="186"/>
      <c r="COB1" s="186"/>
      <c r="COC1" s="186"/>
      <c r="COD1" s="186"/>
      <c r="COE1" s="186"/>
      <c r="COF1" s="186"/>
      <c r="COG1" s="186"/>
      <c r="COH1" s="186"/>
      <c r="COI1" s="186"/>
      <c r="COJ1" s="186"/>
      <c r="COK1" s="186"/>
      <c r="COL1" s="186"/>
      <c r="COM1" s="186"/>
      <c r="CON1" s="186"/>
      <c r="COO1" s="186"/>
      <c r="COP1" s="186"/>
      <c r="COQ1" s="186"/>
      <c r="COR1" s="186"/>
      <c r="COS1" s="186"/>
      <c r="COT1" s="186"/>
      <c r="COU1" s="186"/>
      <c r="COV1" s="186"/>
      <c r="COW1" s="186"/>
      <c r="COX1" s="186"/>
      <c r="COY1" s="186"/>
      <c r="COZ1" s="186"/>
      <c r="CPA1" s="186"/>
      <c r="CPB1" s="186"/>
      <c r="CPC1" s="186"/>
      <c r="CPD1" s="186"/>
      <c r="CPE1" s="186"/>
      <c r="CPF1" s="186"/>
      <c r="CPG1" s="186"/>
      <c r="CPH1" s="186"/>
      <c r="CPI1" s="186"/>
      <c r="CPJ1" s="186"/>
      <c r="CPK1" s="186"/>
      <c r="CPL1" s="186"/>
      <c r="CPM1" s="186"/>
      <c r="CPN1" s="186"/>
      <c r="CPO1" s="186"/>
      <c r="CPP1" s="186"/>
      <c r="CPQ1" s="186"/>
      <c r="CPR1" s="186"/>
      <c r="CPS1" s="186"/>
      <c r="CPT1" s="186"/>
      <c r="CPU1" s="186"/>
      <c r="CPV1" s="186"/>
      <c r="CPW1" s="186"/>
      <c r="CPX1" s="186"/>
      <c r="CPY1" s="186"/>
      <c r="CPZ1" s="186"/>
      <c r="CQA1" s="186"/>
      <c r="CQB1" s="186"/>
      <c r="CQC1" s="186"/>
      <c r="CQD1" s="186"/>
      <c r="CQE1" s="186"/>
      <c r="CQF1" s="186"/>
      <c r="CQG1" s="186"/>
      <c r="CQH1" s="186"/>
      <c r="CQI1" s="186"/>
      <c r="CQJ1" s="186"/>
      <c r="CQK1" s="186"/>
      <c r="CQL1" s="186"/>
      <c r="CQM1" s="186"/>
      <c r="CQN1" s="186"/>
      <c r="CQO1" s="186"/>
      <c r="CQP1" s="186"/>
      <c r="CQQ1" s="186"/>
      <c r="CQR1" s="186"/>
      <c r="CQS1" s="186"/>
      <c r="CQT1" s="186"/>
      <c r="CQU1" s="186"/>
      <c r="CQV1" s="186"/>
      <c r="CQW1" s="186"/>
      <c r="CQX1" s="186"/>
      <c r="CQY1" s="186"/>
      <c r="CQZ1" s="186"/>
      <c r="CRA1" s="186"/>
      <c r="CRB1" s="186"/>
      <c r="CRC1" s="186"/>
      <c r="CRD1" s="186"/>
      <c r="CRE1" s="186"/>
      <c r="CRF1" s="186"/>
      <c r="CRG1" s="186"/>
      <c r="CRH1" s="186"/>
      <c r="CRI1" s="186"/>
      <c r="CRJ1" s="186"/>
      <c r="CRK1" s="186"/>
      <c r="CRL1" s="186"/>
      <c r="CRM1" s="186"/>
      <c r="CRN1" s="186"/>
      <c r="CRO1" s="186"/>
      <c r="CRP1" s="186"/>
      <c r="CRQ1" s="186"/>
      <c r="CRR1" s="186"/>
      <c r="CRS1" s="186"/>
      <c r="CRT1" s="186"/>
      <c r="CRU1" s="186"/>
      <c r="CRV1" s="186"/>
      <c r="CRW1" s="186"/>
      <c r="CRX1" s="186"/>
      <c r="CRY1" s="186"/>
      <c r="CRZ1" s="186"/>
      <c r="CSA1" s="186"/>
      <c r="CSB1" s="186"/>
      <c r="CSC1" s="186"/>
      <c r="CSD1" s="186"/>
      <c r="CSE1" s="186"/>
      <c r="CSF1" s="186"/>
      <c r="CSG1" s="186"/>
      <c r="CSH1" s="186"/>
      <c r="CSI1" s="186"/>
      <c r="CSJ1" s="186"/>
      <c r="CSK1" s="186"/>
      <c r="CSL1" s="186"/>
      <c r="CSM1" s="186"/>
      <c r="CSN1" s="186"/>
      <c r="CSO1" s="186"/>
      <c r="CSP1" s="186"/>
      <c r="CSQ1" s="186"/>
      <c r="CSR1" s="186"/>
      <c r="CSS1" s="186"/>
      <c r="CST1" s="186"/>
      <c r="CSU1" s="186"/>
      <c r="CSV1" s="186"/>
      <c r="CSW1" s="186"/>
      <c r="CSX1" s="186"/>
      <c r="CSY1" s="186"/>
      <c r="CSZ1" s="186"/>
      <c r="CTA1" s="186"/>
      <c r="CTB1" s="186"/>
      <c r="CTC1" s="186"/>
      <c r="CTD1" s="186"/>
      <c r="CTE1" s="186"/>
      <c r="CTF1" s="186"/>
      <c r="CTG1" s="186"/>
      <c r="CTH1" s="186"/>
      <c r="CTI1" s="186"/>
      <c r="CTJ1" s="186"/>
      <c r="CTK1" s="186"/>
      <c r="CTL1" s="186"/>
      <c r="CTM1" s="186"/>
      <c r="CTN1" s="186"/>
      <c r="CTO1" s="186"/>
      <c r="CTP1" s="186"/>
      <c r="CTQ1" s="186"/>
      <c r="CTR1" s="186"/>
      <c r="CTS1" s="186"/>
      <c r="CTT1" s="186"/>
      <c r="CTU1" s="186"/>
      <c r="CTV1" s="186"/>
      <c r="CTW1" s="186"/>
      <c r="CTX1" s="186"/>
      <c r="CTY1" s="186"/>
      <c r="CTZ1" s="186"/>
      <c r="CUA1" s="186"/>
      <c r="CUB1" s="186"/>
      <c r="CUC1" s="186"/>
      <c r="CUD1" s="186"/>
      <c r="CUE1" s="186"/>
      <c r="CUF1" s="186"/>
      <c r="CUG1" s="186"/>
      <c r="CUH1" s="186"/>
      <c r="CUI1" s="186"/>
      <c r="CUJ1" s="186"/>
      <c r="CUK1" s="186"/>
      <c r="CUL1" s="186"/>
      <c r="CUM1" s="186"/>
      <c r="CUN1" s="186"/>
      <c r="CUO1" s="186"/>
      <c r="CUP1" s="186"/>
      <c r="CUQ1" s="186"/>
      <c r="CUR1" s="186"/>
      <c r="CUS1" s="186"/>
      <c r="CUT1" s="186"/>
      <c r="CUU1" s="186"/>
      <c r="CUV1" s="186"/>
      <c r="CUW1" s="186"/>
      <c r="CUX1" s="186"/>
      <c r="CUY1" s="186"/>
      <c r="CUZ1" s="186"/>
      <c r="CVA1" s="186"/>
      <c r="CVB1" s="186"/>
      <c r="CVC1" s="186"/>
      <c r="CVD1" s="186"/>
      <c r="CVE1" s="186"/>
      <c r="CVF1" s="186"/>
      <c r="CVG1" s="186"/>
      <c r="CVH1" s="186"/>
      <c r="CVI1" s="186"/>
      <c r="CVJ1" s="186"/>
      <c r="CVK1" s="186"/>
      <c r="CVL1" s="186"/>
      <c r="CVM1" s="186"/>
      <c r="CVN1" s="186"/>
      <c r="CVO1" s="186"/>
      <c r="CVP1" s="186"/>
      <c r="CVQ1" s="186"/>
      <c r="CVR1" s="186"/>
      <c r="CVS1" s="186"/>
      <c r="CVT1" s="186"/>
      <c r="CVU1" s="186"/>
      <c r="CVV1" s="186"/>
      <c r="CVW1" s="186"/>
      <c r="CVX1" s="186"/>
      <c r="CVY1" s="186"/>
      <c r="CVZ1" s="186"/>
      <c r="CWA1" s="186"/>
      <c r="CWB1" s="186"/>
      <c r="CWC1" s="186"/>
      <c r="CWD1" s="186"/>
      <c r="CWE1" s="186"/>
      <c r="CWF1" s="186"/>
      <c r="CWG1" s="186"/>
      <c r="CWH1" s="186"/>
      <c r="CWI1" s="186"/>
      <c r="CWJ1" s="186"/>
      <c r="CWK1" s="186"/>
      <c r="CWL1" s="186"/>
      <c r="CWM1" s="186"/>
      <c r="CWN1" s="186"/>
      <c r="CWO1" s="186"/>
      <c r="CWP1" s="186"/>
      <c r="CWQ1" s="186"/>
      <c r="CWR1" s="186"/>
      <c r="CWS1" s="186"/>
      <c r="CWT1" s="186"/>
      <c r="CWU1" s="186"/>
      <c r="CWV1" s="186"/>
      <c r="CWW1" s="186"/>
      <c r="CWX1" s="186"/>
      <c r="CWY1" s="186"/>
      <c r="CWZ1" s="186"/>
      <c r="CXA1" s="186"/>
      <c r="CXB1" s="186"/>
      <c r="CXC1" s="186"/>
      <c r="CXD1" s="186"/>
      <c r="CXE1" s="186"/>
      <c r="CXF1" s="186"/>
      <c r="CXG1" s="186"/>
      <c r="CXH1" s="186"/>
      <c r="CXI1" s="186"/>
      <c r="CXJ1" s="186"/>
      <c r="CXK1" s="186"/>
      <c r="CXL1" s="186"/>
      <c r="CXM1" s="186"/>
      <c r="CXN1" s="186"/>
      <c r="CXO1" s="186"/>
      <c r="CXP1" s="186"/>
      <c r="CXQ1" s="186"/>
      <c r="CXR1" s="186"/>
      <c r="CXS1" s="186"/>
      <c r="CXT1" s="186"/>
      <c r="CXU1" s="186"/>
      <c r="CXV1" s="186"/>
      <c r="CXW1" s="186"/>
      <c r="CXX1" s="186"/>
      <c r="CXY1" s="186"/>
      <c r="CXZ1" s="186"/>
      <c r="CYA1" s="186"/>
      <c r="CYB1" s="186"/>
      <c r="CYC1" s="186"/>
      <c r="CYD1" s="186"/>
      <c r="CYE1" s="186"/>
      <c r="CYF1" s="186"/>
      <c r="CYG1" s="186"/>
      <c r="CYH1" s="186"/>
      <c r="CYI1" s="186"/>
      <c r="CYJ1" s="186"/>
      <c r="CYK1" s="186"/>
      <c r="CYL1" s="186"/>
      <c r="CYM1" s="186"/>
      <c r="CYN1" s="186"/>
      <c r="CYO1" s="186"/>
      <c r="CYP1" s="186"/>
      <c r="CYQ1" s="186"/>
      <c r="CYR1" s="186"/>
      <c r="CYS1" s="186"/>
      <c r="CYT1" s="186"/>
      <c r="CYU1" s="186"/>
      <c r="CYV1" s="186"/>
      <c r="CYW1" s="186"/>
      <c r="CYX1" s="186"/>
      <c r="CYY1" s="186"/>
      <c r="CYZ1" s="186"/>
      <c r="CZA1" s="186"/>
      <c r="CZB1" s="186"/>
      <c r="CZC1" s="186"/>
      <c r="CZD1" s="186"/>
      <c r="CZE1" s="186"/>
      <c r="CZF1" s="186"/>
      <c r="CZG1" s="186"/>
      <c r="CZH1" s="186"/>
      <c r="CZI1" s="186"/>
      <c r="CZJ1" s="186"/>
      <c r="CZK1" s="186"/>
      <c r="CZL1" s="186"/>
      <c r="CZM1" s="186"/>
      <c r="CZN1" s="186"/>
      <c r="CZO1" s="186"/>
      <c r="CZP1" s="186"/>
      <c r="CZQ1" s="186"/>
      <c r="CZR1" s="186"/>
      <c r="CZS1" s="186"/>
      <c r="CZT1" s="186"/>
      <c r="CZU1" s="186"/>
      <c r="CZV1" s="186"/>
      <c r="CZW1" s="186"/>
      <c r="CZX1" s="186"/>
      <c r="CZY1" s="186"/>
      <c r="CZZ1" s="186"/>
      <c r="DAA1" s="186"/>
      <c r="DAB1" s="186"/>
      <c r="DAC1" s="186"/>
      <c r="DAD1" s="186"/>
      <c r="DAE1" s="186"/>
      <c r="DAF1" s="186"/>
      <c r="DAG1" s="186"/>
      <c r="DAH1" s="186"/>
      <c r="DAI1" s="186"/>
      <c r="DAJ1" s="186"/>
      <c r="DAK1" s="186"/>
      <c r="DAL1" s="186"/>
      <c r="DAM1" s="186"/>
      <c r="DAN1" s="186"/>
      <c r="DAO1" s="186"/>
      <c r="DAP1" s="186"/>
      <c r="DAQ1" s="186"/>
      <c r="DAR1" s="186"/>
      <c r="DAS1" s="186"/>
      <c r="DAT1" s="186"/>
      <c r="DAU1" s="186"/>
      <c r="DAV1" s="186"/>
      <c r="DAW1" s="186"/>
      <c r="DAX1" s="186"/>
      <c r="DAY1" s="186"/>
      <c r="DAZ1" s="186"/>
      <c r="DBA1" s="186"/>
      <c r="DBB1" s="186"/>
      <c r="DBC1" s="186"/>
      <c r="DBD1" s="186"/>
      <c r="DBE1" s="186"/>
      <c r="DBF1" s="186"/>
      <c r="DBG1" s="186"/>
      <c r="DBH1" s="186"/>
      <c r="DBI1" s="186"/>
      <c r="DBJ1" s="186"/>
      <c r="DBK1" s="186"/>
      <c r="DBL1" s="186"/>
      <c r="DBM1" s="186"/>
      <c r="DBN1" s="186"/>
      <c r="DBO1" s="186"/>
      <c r="DBP1" s="186"/>
      <c r="DBQ1" s="186"/>
      <c r="DBR1" s="186"/>
      <c r="DBS1" s="186"/>
      <c r="DBT1" s="186"/>
      <c r="DBU1" s="186"/>
      <c r="DBV1" s="186"/>
      <c r="DBW1" s="186"/>
      <c r="DBX1" s="186"/>
      <c r="DBY1" s="186"/>
      <c r="DBZ1" s="186"/>
      <c r="DCA1" s="186"/>
      <c r="DCB1" s="186"/>
      <c r="DCC1" s="186"/>
      <c r="DCD1" s="186"/>
      <c r="DCE1" s="186"/>
      <c r="DCF1" s="186"/>
      <c r="DCG1" s="186"/>
      <c r="DCH1" s="186"/>
      <c r="DCI1" s="186"/>
      <c r="DCJ1" s="186"/>
      <c r="DCK1" s="186"/>
      <c r="DCL1" s="186"/>
      <c r="DCM1" s="186"/>
      <c r="DCN1" s="186"/>
      <c r="DCO1" s="186"/>
      <c r="DCP1" s="186"/>
      <c r="DCQ1" s="186"/>
      <c r="DCR1" s="186"/>
      <c r="DCS1" s="186"/>
      <c r="DCT1" s="186"/>
      <c r="DCU1" s="186"/>
      <c r="DCV1" s="186"/>
      <c r="DCW1" s="186"/>
      <c r="DCX1" s="186"/>
      <c r="DCY1" s="186"/>
      <c r="DCZ1" s="186"/>
      <c r="DDA1" s="186"/>
      <c r="DDB1" s="186"/>
      <c r="DDC1" s="186"/>
      <c r="DDD1" s="186"/>
      <c r="DDE1" s="186"/>
      <c r="DDF1" s="186"/>
      <c r="DDG1" s="186"/>
      <c r="DDH1" s="186"/>
      <c r="DDI1" s="186"/>
      <c r="DDJ1" s="186"/>
      <c r="DDK1" s="186"/>
      <c r="DDL1" s="186"/>
      <c r="DDM1" s="186"/>
      <c r="DDN1" s="186"/>
      <c r="DDO1" s="186"/>
      <c r="DDP1" s="186"/>
      <c r="DDQ1" s="186"/>
      <c r="DDR1" s="186"/>
      <c r="DDS1" s="186"/>
      <c r="DDT1" s="186"/>
      <c r="DDU1" s="186"/>
      <c r="DDV1" s="186"/>
      <c r="DDW1" s="186"/>
      <c r="DDX1" s="186"/>
      <c r="DDY1" s="186"/>
      <c r="DDZ1" s="186"/>
      <c r="DEA1" s="186"/>
      <c r="DEB1" s="186"/>
      <c r="DEC1" s="186"/>
      <c r="DED1" s="186"/>
      <c r="DEE1" s="186"/>
      <c r="DEF1" s="186"/>
      <c r="DEG1" s="186"/>
      <c r="DEH1" s="186"/>
      <c r="DEI1" s="186"/>
      <c r="DEJ1" s="186"/>
      <c r="DEK1" s="186"/>
      <c r="DEL1" s="186"/>
      <c r="DEM1" s="186"/>
      <c r="DEN1" s="186"/>
      <c r="DEO1" s="186"/>
      <c r="DEP1" s="186"/>
      <c r="DEQ1" s="186"/>
      <c r="DER1" s="186"/>
      <c r="DES1" s="186"/>
      <c r="DET1" s="186"/>
      <c r="DEU1" s="186"/>
      <c r="DEV1" s="186"/>
      <c r="DEW1" s="186"/>
      <c r="DEX1" s="186"/>
      <c r="DEY1" s="186"/>
      <c r="DEZ1" s="186"/>
      <c r="DFA1" s="186"/>
      <c r="DFB1" s="186"/>
      <c r="DFC1" s="186"/>
      <c r="DFD1" s="186"/>
      <c r="DFE1" s="186"/>
      <c r="DFF1" s="186"/>
      <c r="DFG1" s="186"/>
      <c r="DFH1" s="186"/>
      <c r="DFI1" s="186"/>
      <c r="DFJ1" s="186"/>
      <c r="DFK1" s="186"/>
      <c r="DFL1" s="186"/>
      <c r="DFM1" s="186"/>
      <c r="DFN1" s="186"/>
      <c r="DFO1" s="186"/>
      <c r="DFP1" s="186"/>
      <c r="DFQ1" s="186"/>
      <c r="DFR1" s="186"/>
      <c r="DFS1" s="186"/>
      <c r="DFT1" s="186"/>
      <c r="DFU1" s="186"/>
      <c r="DFV1" s="186"/>
      <c r="DFW1" s="186"/>
      <c r="DFX1" s="186"/>
      <c r="DFY1" s="186"/>
      <c r="DFZ1" s="186"/>
      <c r="DGA1" s="186"/>
      <c r="DGB1" s="186"/>
      <c r="DGC1" s="186"/>
      <c r="DGD1" s="186"/>
      <c r="DGE1" s="186"/>
      <c r="DGF1" s="186"/>
      <c r="DGG1" s="186"/>
      <c r="DGH1" s="186"/>
      <c r="DGI1" s="186"/>
      <c r="DGJ1" s="186"/>
      <c r="DGK1" s="186"/>
      <c r="DGL1" s="186"/>
      <c r="DGM1" s="186"/>
      <c r="DGN1" s="186"/>
      <c r="DGO1" s="186"/>
      <c r="DGP1" s="186"/>
      <c r="DGQ1" s="186"/>
      <c r="DGR1" s="186"/>
      <c r="DGS1" s="186"/>
      <c r="DGT1" s="186"/>
      <c r="DGU1" s="186"/>
      <c r="DGV1" s="186"/>
      <c r="DGW1" s="186"/>
      <c r="DGX1" s="186"/>
      <c r="DGY1" s="186"/>
      <c r="DGZ1" s="186"/>
      <c r="DHA1" s="186"/>
      <c r="DHB1" s="186"/>
      <c r="DHC1" s="186"/>
      <c r="DHD1" s="186"/>
      <c r="DHE1" s="186"/>
      <c r="DHF1" s="186"/>
      <c r="DHG1" s="186"/>
      <c r="DHH1" s="186"/>
      <c r="DHI1" s="186"/>
      <c r="DHJ1" s="186"/>
      <c r="DHK1" s="186"/>
      <c r="DHL1" s="186"/>
      <c r="DHM1" s="186"/>
      <c r="DHN1" s="186"/>
      <c r="DHO1" s="186"/>
      <c r="DHP1" s="186"/>
      <c r="DHQ1" s="186"/>
      <c r="DHR1" s="186"/>
      <c r="DHS1" s="186"/>
      <c r="DHT1" s="186"/>
      <c r="DHU1" s="186"/>
      <c r="DHV1" s="186"/>
      <c r="DHW1" s="186"/>
      <c r="DHX1" s="186"/>
      <c r="DHY1" s="186"/>
      <c r="DHZ1" s="186"/>
      <c r="DIA1" s="186"/>
      <c r="DIB1" s="186"/>
      <c r="DIC1" s="186"/>
      <c r="DID1" s="186"/>
      <c r="DIE1" s="186"/>
      <c r="DIF1" s="186"/>
      <c r="DIG1" s="186"/>
      <c r="DIH1" s="186"/>
      <c r="DII1" s="186"/>
      <c r="DIJ1" s="186"/>
      <c r="DIK1" s="186"/>
      <c r="DIL1" s="186"/>
      <c r="DIM1" s="186"/>
      <c r="DIN1" s="186"/>
      <c r="DIO1" s="186"/>
      <c r="DIP1" s="186"/>
      <c r="DIQ1" s="186"/>
      <c r="DIR1" s="186"/>
      <c r="DIS1" s="186"/>
      <c r="DIT1" s="186"/>
      <c r="DIU1" s="186"/>
      <c r="DIV1" s="186"/>
      <c r="DIW1" s="186"/>
      <c r="DIX1" s="186"/>
      <c r="DIY1" s="186"/>
      <c r="DIZ1" s="186"/>
      <c r="DJA1" s="186"/>
      <c r="DJB1" s="186"/>
      <c r="DJC1" s="186"/>
      <c r="DJD1" s="186"/>
      <c r="DJE1" s="186"/>
      <c r="DJF1" s="186"/>
      <c r="DJG1" s="186"/>
      <c r="DJH1" s="186"/>
      <c r="DJI1" s="186"/>
      <c r="DJJ1" s="186"/>
      <c r="DJK1" s="186"/>
      <c r="DJL1" s="186"/>
      <c r="DJM1" s="186"/>
      <c r="DJN1" s="186"/>
      <c r="DJO1" s="186"/>
      <c r="DJP1" s="186"/>
      <c r="DJQ1" s="186"/>
      <c r="DJR1" s="186"/>
      <c r="DJS1" s="186"/>
      <c r="DJT1" s="186"/>
      <c r="DJU1" s="186"/>
      <c r="DJV1" s="186"/>
      <c r="DJW1" s="186"/>
      <c r="DJX1" s="186"/>
      <c r="DJY1" s="186"/>
      <c r="DJZ1" s="186"/>
      <c r="DKA1" s="186"/>
      <c r="DKB1" s="186"/>
      <c r="DKC1" s="186"/>
      <c r="DKD1" s="186"/>
      <c r="DKE1" s="186"/>
      <c r="DKF1" s="186"/>
      <c r="DKG1" s="186"/>
      <c r="DKH1" s="186"/>
      <c r="DKI1" s="186"/>
      <c r="DKJ1" s="186"/>
      <c r="DKK1" s="186"/>
      <c r="DKL1" s="186"/>
      <c r="DKM1" s="186"/>
      <c r="DKN1" s="186"/>
      <c r="DKO1" s="186"/>
      <c r="DKP1" s="186"/>
      <c r="DKQ1" s="186"/>
      <c r="DKR1" s="186"/>
      <c r="DKS1" s="186"/>
      <c r="DKT1" s="186"/>
      <c r="DKU1" s="186"/>
      <c r="DKV1" s="186"/>
      <c r="DKW1" s="186"/>
      <c r="DKX1" s="186"/>
      <c r="DKY1" s="186"/>
      <c r="DKZ1" s="186"/>
      <c r="DLA1" s="186"/>
      <c r="DLB1" s="186"/>
      <c r="DLC1" s="186"/>
      <c r="DLD1" s="186"/>
      <c r="DLE1" s="186"/>
      <c r="DLF1" s="186"/>
      <c r="DLG1" s="186"/>
      <c r="DLH1" s="186"/>
      <c r="DLI1" s="186"/>
      <c r="DLJ1" s="186"/>
      <c r="DLK1" s="186"/>
      <c r="DLL1" s="186"/>
      <c r="DLM1" s="186"/>
      <c r="DLN1" s="186"/>
      <c r="DLO1" s="186"/>
      <c r="DLP1" s="186"/>
      <c r="DLQ1" s="186"/>
      <c r="DLR1" s="186"/>
      <c r="DLS1" s="186"/>
      <c r="DLT1" s="186"/>
      <c r="DLU1" s="186"/>
      <c r="DLV1" s="186"/>
      <c r="DLW1" s="186"/>
      <c r="DLX1" s="186"/>
      <c r="DLY1" s="186"/>
      <c r="DLZ1" s="186"/>
      <c r="DMA1" s="186"/>
      <c r="DMB1" s="186"/>
      <c r="DMC1" s="186"/>
      <c r="DMD1" s="186"/>
      <c r="DME1" s="186"/>
      <c r="DMF1" s="186"/>
      <c r="DMG1" s="186"/>
      <c r="DMH1" s="186"/>
      <c r="DMI1" s="186"/>
      <c r="DMJ1" s="186"/>
      <c r="DMK1" s="186"/>
      <c r="DML1" s="186"/>
      <c r="DMM1" s="186"/>
      <c r="DMN1" s="186"/>
      <c r="DMO1" s="186"/>
      <c r="DMP1" s="186"/>
      <c r="DMQ1" s="186"/>
      <c r="DMR1" s="186"/>
      <c r="DMS1" s="186"/>
      <c r="DMT1" s="186"/>
      <c r="DMU1" s="186"/>
      <c r="DMV1" s="186"/>
      <c r="DMW1" s="186"/>
      <c r="DMX1" s="186"/>
      <c r="DMY1" s="186"/>
      <c r="DMZ1" s="186"/>
      <c r="DNA1" s="186"/>
      <c r="DNB1" s="186"/>
      <c r="DNC1" s="186"/>
      <c r="DND1" s="186"/>
      <c r="DNE1" s="186"/>
      <c r="DNF1" s="186"/>
      <c r="DNG1" s="186"/>
      <c r="DNH1" s="186"/>
      <c r="DNI1" s="186"/>
      <c r="DNJ1" s="186"/>
      <c r="DNK1" s="186"/>
      <c r="DNL1" s="186"/>
      <c r="DNM1" s="186"/>
      <c r="DNN1" s="186"/>
      <c r="DNO1" s="186"/>
      <c r="DNP1" s="186"/>
      <c r="DNQ1" s="186"/>
      <c r="DNR1" s="186"/>
      <c r="DNS1" s="186"/>
      <c r="DNT1" s="186"/>
      <c r="DNU1" s="186"/>
      <c r="DNV1" s="186"/>
      <c r="DNW1" s="186"/>
      <c r="DNX1" s="186"/>
      <c r="DNY1" s="186"/>
      <c r="DNZ1" s="186"/>
      <c r="DOA1" s="186"/>
      <c r="DOB1" s="186"/>
      <c r="DOC1" s="186"/>
      <c r="DOD1" s="186"/>
      <c r="DOE1" s="186"/>
      <c r="DOF1" s="186"/>
      <c r="DOG1" s="186"/>
      <c r="DOH1" s="186"/>
      <c r="DOI1" s="186"/>
      <c r="DOJ1" s="186"/>
      <c r="DOK1" s="186"/>
      <c r="DOL1" s="186"/>
      <c r="DOM1" s="186"/>
      <c r="DON1" s="186"/>
      <c r="DOO1" s="186"/>
      <c r="DOP1" s="186"/>
      <c r="DOQ1" s="186"/>
      <c r="DOR1" s="186"/>
      <c r="DOS1" s="186"/>
      <c r="DOT1" s="186"/>
      <c r="DOU1" s="186"/>
      <c r="DOV1" s="186"/>
      <c r="DOW1" s="186"/>
      <c r="DOX1" s="186"/>
      <c r="DOY1" s="186"/>
      <c r="DOZ1" s="186"/>
      <c r="DPA1" s="186"/>
      <c r="DPB1" s="186"/>
      <c r="DPC1" s="186"/>
      <c r="DPD1" s="186"/>
      <c r="DPE1" s="186"/>
      <c r="DPF1" s="186"/>
      <c r="DPG1" s="186"/>
      <c r="DPH1" s="186"/>
      <c r="DPI1" s="186"/>
      <c r="DPJ1" s="186"/>
      <c r="DPK1" s="186"/>
      <c r="DPL1" s="186"/>
      <c r="DPM1" s="186"/>
      <c r="DPN1" s="186"/>
      <c r="DPO1" s="186"/>
      <c r="DPP1" s="186"/>
      <c r="DPQ1" s="186"/>
      <c r="DPR1" s="186"/>
      <c r="DPS1" s="186"/>
      <c r="DPT1" s="186"/>
      <c r="DPU1" s="186"/>
      <c r="DPV1" s="186"/>
      <c r="DPW1" s="186"/>
      <c r="DPX1" s="186"/>
      <c r="DPY1" s="186"/>
      <c r="DPZ1" s="186"/>
      <c r="DQA1" s="186"/>
      <c r="DQB1" s="186"/>
      <c r="DQC1" s="186"/>
      <c r="DQD1" s="186"/>
      <c r="DQE1" s="186"/>
      <c r="DQF1" s="186"/>
      <c r="DQG1" s="186"/>
      <c r="DQH1" s="186"/>
      <c r="DQI1" s="186"/>
      <c r="DQJ1" s="186"/>
      <c r="DQK1" s="186"/>
      <c r="DQL1" s="186"/>
      <c r="DQM1" s="186"/>
      <c r="DQN1" s="186"/>
      <c r="DQO1" s="186"/>
      <c r="DQP1" s="186"/>
      <c r="DQQ1" s="186"/>
      <c r="DQR1" s="186"/>
      <c r="DQS1" s="186"/>
      <c r="DQT1" s="186"/>
      <c r="DQU1" s="186"/>
      <c r="DQV1" s="186"/>
      <c r="DQW1" s="186"/>
      <c r="DQX1" s="186"/>
      <c r="DQY1" s="186"/>
      <c r="DQZ1" s="186"/>
      <c r="DRA1" s="186"/>
      <c r="DRB1" s="186"/>
      <c r="DRC1" s="186"/>
      <c r="DRD1" s="186"/>
      <c r="DRE1" s="186"/>
      <c r="DRF1" s="186"/>
      <c r="DRG1" s="186"/>
      <c r="DRH1" s="186"/>
      <c r="DRI1" s="186"/>
      <c r="DRJ1" s="186"/>
      <c r="DRK1" s="186"/>
      <c r="DRL1" s="186"/>
      <c r="DRM1" s="186"/>
      <c r="DRN1" s="186"/>
      <c r="DRO1" s="186"/>
      <c r="DRP1" s="186"/>
      <c r="DRQ1" s="186"/>
      <c r="DRR1" s="186"/>
      <c r="DRS1" s="186"/>
      <c r="DRT1" s="186"/>
      <c r="DRU1" s="186"/>
      <c r="DRV1" s="186"/>
      <c r="DRW1" s="186"/>
      <c r="DRX1" s="186"/>
      <c r="DRY1" s="186"/>
      <c r="DRZ1" s="186"/>
      <c r="DSA1" s="186"/>
      <c r="DSB1" s="186"/>
      <c r="DSC1" s="186"/>
      <c r="DSD1" s="186"/>
      <c r="DSE1" s="186"/>
      <c r="DSF1" s="186"/>
      <c r="DSG1" s="186"/>
      <c r="DSH1" s="186"/>
      <c r="DSI1" s="186"/>
      <c r="DSJ1" s="186"/>
      <c r="DSK1" s="186"/>
      <c r="DSL1" s="186"/>
      <c r="DSM1" s="186"/>
      <c r="DSN1" s="186"/>
      <c r="DSO1" s="186"/>
      <c r="DSP1" s="186"/>
      <c r="DSQ1" s="186"/>
      <c r="DSR1" s="186"/>
      <c r="DSS1" s="186"/>
      <c r="DST1" s="186"/>
      <c r="DSU1" s="186"/>
      <c r="DSV1" s="186"/>
      <c r="DSW1" s="186"/>
      <c r="DSX1" s="186"/>
      <c r="DSY1" s="186"/>
      <c r="DSZ1" s="186"/>
      <c r="DTA1" s="186"/>
      <c r="DTB1" s="186"/>
      <c r="DTC1" s="186"/>
      <c r="DTD1" s="186"/>
      <c r="DTE1" s="186"/>
      <c r="DTF1" s="186"/>
      <c r="DTG1" s="186"/>
      <c r="DTH1" s="186"/>
      <c r="DTI1" s="186"/>
      <c r="DTJ1" s="186"/>
      <c r="DTK1" s="186"/>
      <c r="DTL1" s="186"/>
      <c r="DTM1" s="186"/>
      <c r="DTN1" s="186"/>
      <c r="DTO1" s="186"/>
      <c r="DTP1" s="186"/>
      <c r="DTQ1" s="186"/>
      <c r="DTR1" s="186"/>
      <c r="DTS1" s="186"/>
      <c r="DTT1" s="186"/>
      <c r="DTU1" s="186"/>
      <c r="DTV1" s="186"/>
      <c r="DTW1" s="186"/>
      <c r="DTX1" s="186"/>
      <c r="DTY1" s="186"/>
      <c r="DTZ1" s="186"/>
      <c r="DUA1" s="186"/>
      <c r="DUB1" s="186"/>
      <c r="DUC1" s="186"/>
      <c r="DUD1" s="186"/>
      <c r="DUE1" s="186"/>
      <c r="DUF1" s="186"/>
      <c r="DUG1" s="186"/>
      <c r="DUH1" s="186"/>
      <c r="DUI1" s="186"/>
      <c r="DUJ1" s="186"/>
      <c r="DUK1" s="186"/>
      <c r="DUL1" s="186"/>
      <c r="DUM1" s="186"/>
      <c r="DUN1" s="186"/>
      <c r="DUO1" s="186"/>
      <c r="DUP1" s="186"/>
      <c r="DUQ1" s="186"/>
      <c r="DUR1" s="186"/>
      <c r="DUS1" s="186"/>
      <c r="DUT1" s="186"/>
      <c r="DUU1" s="186"/>
      <c r="DUV1" s="186"/>
      <c r="DUW1" s="186"/>
      <c r="DUX1" s="186"/>
      <c r="DUY1" s="186"/>
      <c r="DUZ1" s="186"/>
      <c r="DVA1" s="186"/>
      <c r="DVB1" s="186"/>
      <c r="DVC1" s="186"/>
      <c r="DVD1" s="186"/>
      <c r="DVE1" s="186"/>
      <c r="DVF1" s="186"/>
      <c r="DVG1" s="186"/>
      <c r="DVH1" s="186"/>
      <c r="DVI1" s="186"/>
      <c r="DVJ1" s="186"/>
      <c r="DVK1" s="186"/>
      <c r="DVL1" s="186"/>
      <c r="DVM1" s="186"/>
      <c r="DVN1" s="186"/>
      <c r="DVO1" s="186"/>
      <c r="DVP1" s="186"/>
      <c r="DVQ1" s="186"/>
      <c r="DVR1" s="186"/>
      <c r="DVS1" s="186"/>
      <c r="DVT1" s="186"/>
      <c r="DVU1" s="186"/>
      <c r="DVV1" s="186"/>
      <c r="DVW1" s="186"/>
      <c r="DVX1" s="186"/>
      <c r="DVY1" s="186"/>
      <c r="DVZ1" s="186"/>
      <c r="DWA1" s="186"/>
      <c r="DWB1" s="186"/>
      <c r="DWC1" s="186"/>
      <c r="DWD1" s="186"/>
      <c r="DWE1" s="186"/>
      <c r="DWF1" s="186"/>
      <c r="DWG1" s="186"/>
      <c r="DWH1" s="186"/>
      <c r="DWI1" s="186"/>
      <c r="DWJ1" s="186"/>
      <c r="DWK1" s="186"/>
      <c r="DWL1" s="186"/>
      <c r="DWM1" s="186"/>
      <c r="DWN1" s="186"/>
      <c r="DWO1" s="186"/>
      <c r="DWP1" s="186"/>
      <c r="DWQ1" s="186"/>
      <c r="DWR1" s="186"/>
      <c r="DWS1" s="186"/>
      <c r="DWT1" s="186"/>
      <c r="DWU1" s="186"/>
      <c r="DWV1" s="186"/>
      <c r="DWW1" s="186"/>
      <c r="DWX1" s="186"/>
      <c r="DWY1" s="186"/>
      <c r="DWZ1" s="186"/>
      <c r="DXA1" s="186"/>
      <c r="DXB1" s="186"/>
      <c r="DXC1" s="186"/>
      <c r="DXD1" s="186"/>
      <c r="DXE1" s="186"/>
      <c r="DXF1" s="186"/>
      <c r="DXG1" s="186"/>
      <c r="DXH1" s="186"/>
      <c r="DXI1" s="186"/>
      <c r="DXJ1" s="186"/>
      <c r="DXK1" s="186"/>
      <c r="DXL1" s="186"/>
      <c r="DXM1" s="186"/>
      <c r="DXN1" s="186"/>
      <c r="DXO1" s="186"/>
      <c r="DXP1" s="186"/>
      <c r="DXQ1" s="186"/>
      <c r="DXR1" s="186"/>
      <c r="DXS1" s="186"/>
      <c r="DXT1" s="186"/>
      <c r="DXU1" s="186"/>
      <c r="DXV1" s="186"/>
      <c r="DXW1" s="186"/>
      <c r="DXX1" s="186"/>
      <c r="DXY1" s="186"/>
      <c r="DXZ1" s="186"/>
      <c r="DYA1" s="186"/>
      <c r="DYB1" s="186"/>
      <c r="DYC1" s="186"/>
      <c r="DYD1" s="186"/>
      <c r="DYE1" s="186"/>
      <c r="DYF1" s="186"/>
      <c r="DYG1" s="186"/>
      <c r="DYH1" s="186"/>
      <c r="DYI1" s="186"/>
      <c r="DYJ1" s="186"/>
      <c r="DYK1" s="186"/>
      <c r="DYL1" s="186"/>
      <c r="DYM1" s="186"/>
      <c r="DYN1" s="186"/>
      <c r="DYO1" s="186"/>
      <c r="DYP1" s="186"/>
      <c r="DYQ1" s="186"/>
      <c r="DYR1" s="186"/>
      <c r="DYS1" s="186"/>
      <c r="DYT1" s="186"/>
      <c r="DYU1" s="186"/>
      <c r="DYV1" s="186"/>
      <c r="DYW1" s="186"/>
      <c r="DYX1" s="186"/>
      <c r="DYY1" s="186"/>
      <c r="DYZ1" s="186"/>
      <c r="DZA1" s="186"/>
      <c r="DZB1" s="186"/>
      <c r="DZC1" s="186"/>
      <c r="DZD1" s="186"/>
      <c r="DZE1" s="186"/>
      <c r="DZF1" s="186"/>
      <c r="DZG1" s="186"/>
      <c r="DZH1" s="186"/>
      <c r="DZI1" s="186"/>
      <c r="DZJ1" s="186"/>
      <c r="DZK1" s="186"/>
      <c r="DZL1" s="186"/>
      <c r="DZM1" s="186"/>
      <c r="DZN1" s="186"/>
      <c r="DZO1" s="186"/>
      <c r="DZP1" s="186"/>
      <c r="DZQ1" s="186"/>
      <c r="DZR1" s="186"/>
      <c r="DZS1" s="186"/>
      <c r="DZT1" s="186"/>
      <c r="DZU1" s="186"/>
      <c r="DZV1" s="186"/>
      <c r="DZW1" s="186"/>
      <c r="DZX1" s="186"/>
      <c r="DZY1" s="186"/>
      <c r="DZZ1" s="186"/>
      <c r="EAA1" s="186"/>
      <c r="EAB1" s="186"/>
      <c r="EAC1" s="186"/>
      <c r="EAD1" s="186"/>
      <c r="EAE1" s="186"/>
      <c r="EAF1" s="186"/>
      <c r="EAG1" s="186"/>
      <c r="EAH1" s="186"/>
      <c r="EAI1" s="186"/>
      <c r="EAJ1" s="186"/>
      <c r="EAK1" s="186"/>
      <c r="EAL1" s="186"/>
      <c r="EAM1" s="186"/>
      <c r="EAN1" s="186"/>
      <c r="EAO1" s="186"/>
      <c r="EAP1" s="186"/>
      <c r="EAQ1" s="186"/>
      <c r="EAR1" s="186"/>
      <c r="EAS1" s="186"/>
      <c r="EAT1" s="186"/>
      <c r="EAU1" s="186"/>
      <c r="EAV1" s="186"/>
      <c r="EAW1" s="186"/>
      <c r="EAX1" s="186"/>
      <c r="EAY1" s="186"/>
      <c r="EAZ1" s="186"/>
      <c r="EBA1" s="186"/>
      <c r="EBB1" s="186"/>
      <c r="EBC1" s="186"/>
      <c r="EBD1" s="186"/>
      <c r="EBE1" s="186"/>
      <c r="EBF1" s="186"/>
      <c r="EBG1" s="186"/>
      <c r="EBH1" s="186"/>
      <c r="EBI1" s="186"/>
      <c r="EBJ1" s="186"/>
      <c r="EBK1" s="186"/>
      <c r="EBL1" s="186"/>
      <c r="EBM1" s="186"/>
      <c r="EBN1" s="186"/>
      <c r="EBO1" s="186"/>
      <c r="EBP1" s="186"/>
      <c r="EBQ1" s="186"/>
      <c r="EBR1" s="186"/>
      <c r="EBS1" s="186"/>
      <c r="EBT1" s="186"/>
      <c r="EBU1" s="186"/>
      <c r="EBV1" s="186"/>
      <c r="EBW1" s="186"/>
      <c r="EBX1" s="186"/>
      <c r="EBY1" s="186"/>
      <c r="EBZ1" s="186"/>
      <c r="ECA1" s="186"/>
      <c r="ECB1" s="186"/>
      <c r="ECC1" s="186"/>
      <c r="ECD1" s="186"/>
      <c r="ECE1" s="186"/>
      <c r="ECF1" s="186"/>
      <c r="ECG1" s="186"/>
      <c r="ECH1" s="186"/>
      <c r="ECI1" s="186"/>
      <c r="ECJ1" s="186"/>
      <c r="ECK1" s="186"/>
      <c r="ECL1" s="186"/>
      <c r="ECM1" s="186"/>
      <c r="ECN1" s="186"/>
      <c r="ECO1" s="186"/>
      <c r="ECP1" s="186"/>
      <c r="ECQ1" s="186"/>
      <c r="ECR1" s="186"/>
      <c r="ECS1" s="186"/>
      <c r="ECT1" s="186"/>
      <c r="ECU1" s="186"/>
      <c r="ECV1" s="186"/>
      <c r="ECW1" s="186"/>
      <c r="ECX1" s="186"/>
      <c r="ECY1" s="186"/>
      <c r="ECZ1" s="186"/>
      <c r="EDA1" s="186"/>
      <c r="EDB1" s="186"/>
      <c r="EDC1" s="186"/>
      <c r="EDD1" s="186"/>
      <c r="EDE1" s="186"/>
      <c r="EDF1" s="186"/>
      <c r="EDG1" s="186"/>
      <c r="EDH1" s="186"/>
      <c r="EDI1" s="186"/>
      <c r="EDJ1" s="186"/>
      <c r="EDK1" s="186"/>
      <c r="EDL1" s="186"/>
      <c r="EDM1" s="186"/>
      <c r="EDN1" s="186"/>
      <c r="EDO1" s="186"/>
      <c r="EDP1" s="186"/>
      <c r="EDQ1" s="186"/>
      <c r="EDR1" s="186"/>
      <c r="EDS1" s="186"/>
      <c r="EDT1" s="186"/>
      <c r="EDU1" s="186"/>
      <c r="EDV1" s="186"/>
      <c r="EDW1" s="186"/>
      <c r="EDX1" s="186"/>
      <c r="EDY1" s="186"/>
      <c r="EDZ1" s="186"/>
      <c r="EEA1" s="186"/>
      <c r="EEB1" s="186"/>
      <c r="EEC1" s="186"/>
      <c r="EED1" s="186"/>
      <c r="EEE1" s="186"/>
      <c r="EEF1" s="186"/>
      <c r="EEG1" s="186"/>
      <c r="EEH1" s="186"/>
      <c r="EEI1" s="186"/>
      <c r="EEJ1" s="186"/>
      <c r="EEK1" s="186"/>
      <c r="EEL1" s="186"/>
      <c r="EEM1" s="186"/>
      <c r="EEN1" s="186"/>
      <c r="EEO1" s="186"/>
      <c r="EEP1" s="186"/>
      <c r="EEQ1" s="186"/>
      <c r="EER1" s="186"/>
      <c r="EES1" s="186"/>
      <c r="EET1" s="186"/>
      <c r="EEU1" s="186"/>
      <c r="EEV1" s="186"/>
      <c r="EEW1" s="186"/>
      <c r="EEX1" s="186"/>
      <c r="EEY1" s="186"/>
      <c r="EEZ1" s="186"/>
      <c r="EFA1" s="186"/>
      <c r="EFB1" s="186"/>
      <c r="EFC1" s="186"/>
      <c r="EFD1" s="186"/>
      <c r="EFE1" s="186"/>
      <c r="EFF1" s="186"/>
      <c r="EFG1" s="186"/>
      <c r="EFH1" s="186"/>
      <c r="EFI1" s="186"/>
      <c r="EFJ1" s="186"/>
      <c r="EFK1" s="186"/>
      <c r="EFL1" s="186"/>
      <c r="EFM1" s="186"/>
      <c r="EFN1" s="186"/>
      <c r="EFO1" s="186"/>
      <c r="EFP1" s="186"/>
      <c r="EFQ1" s="186"/>
      <c r="EFR1" s="186"/>
      <c r="EFS1" s="186"/>
      <c r="EFT1" s="186"/>
      <c r="EFU1" s="186"/>
      <c r="EFV1" s="186"/>
      <c r="EFW1" s="186"/>
      <c r="EFX1" s="186"/>
      <c r="EFY1" s="186"/>
      <c r="EFZ1" s="186"/>
      <c r="EGA1" s="186"/>
      <c r="EGB1" s="186"/>
      <c r="EGC1" s="186"/>
      <c r="EGD1" s="186"/>
      <c r="EGE1" s="186"/>
      <c r="EGF1" s="186"/>
      <c r="EGG1" s="186"/>
      <c r="EGH1" s="186"/>
      <c r="EGI1" s="186"/>
      <c r="EGJ1" s="186"/>
      <c r="EGK1" s="186"/>
      <c r="EGL1" s="186"/>
      <c r="EGM1" s="186"/>
      <c r="EGN1" s="186"/>
      <c r="EGO1" s="186"/>
      <c r="EGP1" s="186"/>
      <c r="EGQ1" s="186"/>
      <c r="EGR1" s="186"/>
      <c r="EGS1" s="186"/>
      <c r="EGT1" s="186"/>
      <c r="EGU1" s="186"/>
      <c r="EGV1" s="186"/>
      <c r="EGW1" s="186"/>
      <c r="EGX1" s="186"/>
      <c r="EGY1" s="186"/>
      <c r="EGZ1" s="186"/>
      <c r="EHA1" s="186"/>
      <c r="EHB1" s="186"/>
      <c r="EHC1" s="186"/>
      <c r="EHD1" s="186"/>
      <c r="EHE1" s="186"/>
      <c r="EHF1" s="186"/>
      <c r="EHG1" s="186"/>
      <c r="EHH1" s="186"/>
      <c r="EHI1" s="186"/>
      <c r="EHJ1" s="186"/>
      <c r="EHK1" s="186"/>
      <c r="EHL1" s="186"/>
      <c r="EHM1" s="186"/>
      <c r="EHN1" s="186"/>
      <c r="EHO1" s="186"/>
      <c r="EHP1" s="186"/>
      <c r="EHQ1" s="186"/>
      <c r="EHR1" s="186"/>
      <c r="EHS1" s="186"/>
      <c r="EHT1" s="186"/>
      <c r="EHU1" s="186"/>
      <c r="EHV1" s="186"/>
      <c r="EHW1" s="186"/>
      <c r="EHX1" s="186"/>
      <c r="EHY1" s="186"/>
      <c r="EHZ1" s="186"/>
      <c r="EIA1" s="186"/>
      <c r="EIB1" s="186"/>
      <c r="EIC1" s="186"/>
      <c r="EID1" s="186"/>
      <c r="EIE1" s="186"/>
      <c r="EIF1" s="186"/>
      <c r="EIG1" s="186"/>
      <c r="EIH1" s="186"/>
      <c r="EII1" s="186"/>
      <c r="EIJ1" s="186"/>
      <c r="EIK1" s="186"/>
      <c r="EIL1" s="186"/>
      <c r="EIM1" s="186"/>
      <c r="EIN1" s="186"/>
      <c r="EIO1" s="186"/>
      <c r="EIP1" s="186"/>
      <c r="EIQ1" s="186"/>
      <c r="EIR1" s="186"/>
      <c r="EIS1" s="186"/>
      <c r="EIT1" s="186"/>
      <c r="EIU1" s="186"/>
      <c r="EIV1" s="186"/>
      <c r="EIW1" s="186"/>
      <c r="EIX1" s="186"/>
      <c r="EIY1" s="186"/>
      <c r="EIZ1" s="186"/>
      <c r="EJA1" s="186"/>
      <c r="EJB1" s="186"/>
      <c r="EJC1" s="186"/>
      <c r="EJD1" s="186"/>
      <c r="EJE1" s="186"/>
      <c r="EJF1" s="186"/>
      <c r="EJG1" s="186"/>
      <c r="EJH1" s="186"/>
      <c r="EJI1" s="186"/>
      <c r="EJJ1" s="186"/>
      <c r="EJK1" s="186"/>
      <c r="EJL1" s="186"/>
      <c r="EJM1" s="186"/>
      <c r="EJN1" s="186"/>
      <c r="EJO1" s="186"/>
      <c r="EJP1" s="186"/>
      <c r="EJQ1" s="186"/>
      <c r="EJR1" s="186"/>
      <c r="EJS1" s="186"/>
      <c r="EJT1" s="186"/>
      <c r="EJU1" s="186"/>
      <c r="EJV1" s="186"/>
      <c r="EJW1" s="186"/>
      <c r="EJX1" s="186"/>
      <c r="EJY1" s="186"/>
      <c r="EJZ1" s="186"/>
      <c r="EKA1" s="186"/>
      <c r="EKB1" s="186"/>
      <c r="EKC1" s="186"/>
      <c r="EKD1" s="186"/>
      <c r="EKE1" s="186"/>
      <c r="EKF1" s="186"/>
      <c r="EKG1" s="186"/>
      <c r="EKH1" s="186"/>
      <c r="EKI1" s="186"/>
      <c r="EKJ1" s="186"/>
      <c r="EKK1" s="186"/>
      <c r="EKL1" s="186"/>
      <c r="EKM1" s="186"/>
      <c r="EKN1" s="186"/>
      <c r="EKO1" s="186"/>
      <c r="EKP1" s="186"/>
      <c r="EKQ1" s="186"/>
      <c r="EKR1" s="186"/>
      <c r="EKS1" s="186"/>
      <c r="EKT1" s="186"/>
      <c r="EKU1" s="186"/>
      <c r="EKV1" s="186"/>
      <c r="EKW1" s="186"/>
      <c r="EKX1" s="186"/>
      <c r="EKY1" s="186"/>
      <c r="EKZ1" s="186"/>
      <c r="ELA1" s="186"/>
      <c r="ELB1" s="186"/>
      <c r="ELC1" s="186"/>
      <c r="ELD1" s="186"/>
      <c r="ELE1" s="186"/>
      <c r="ELF1" s="186"/>
      <c r="ELG1" s="186"/>
      <c r="ELH1" s="186"/>
      <c r="ELI1" s="186"/>
      <c r="ELJ1" s="186"/>
      <c r="ELK1" s="186"/>
      <c r="ELL1" s="186"/>
      <c r="ELM1" s="186"/>
      <c r="ELN1" s="186"/>
      <c r="ELO1" s="186"/>
      <c r="ELP1" s="186"/>
      <c r="ELQ1" s="186"/>
      <c r="ELR1" s="186"/>
      <c r="ELS1" s="186"/>
      <c r="ELT1" s="186"/>
      <c r="ELU1" s="186"/>
      <c r="ELV1" s="186"/>
      <c r="ELW1" s="186"/>
      <c r="ELX1" s="186"/>
      <c r="ELY1" s="186"/>
      <c r="ELZ1" s="186"/>
      <c r="EMA1" s="186"/>
      <c r="EMB1" s="186"/>
      <c r="EMC1" s="186"/>
      <c r="EMD1" s="186"/>
      <c r="EME1" s="186"/>
      <c r="EMF1" s="186"/>
      <c r="EMG1" s="186"/>
      <c r="EMH1" s="186"/>
      <c r="EMI1" s="186"/>
      <c r="EMJ1" s="186"/>
      <c r="EMK1" s="186"/>
      <c r="EML1" s="186"/>
      <c r="EMM1" s="186"/>
      <c r="EMN1" s="186"/>
      <c r="EMO1" s="186"/>
      <c r="EMP1" s="186"/>
      <c r="EMQ1" s="186"/>
      <c r="EMR1" s="186"/>
      <c r="EMS1" s="186"/>
      <c r="EMT1" s="186"/>
      <c r="EMU1" s="186"/>
      <c r="EMV1" s="186"/>
      <c r="EMW1" s="186"/>
      <c r="EMX1" s="186"/>
      <c r="EMY1" s="186"/>
      <c r="EMZ1" s="186"/>
      <c r="ENA1" s="186"/>
      <c r="ENB1" s="186"/>
      <c r="ENC1" s="186"/>
      <c r="END1" s="186"/>
      <c r="ENE1" s="186"/>
      <c r="ENF1" s="186"/>
      <c r="ENG1" s="186"/>
      <c r="ENH1" s="186"/>
      <c r="ENI1" s="186"/>
      <c r="ENJ1" s="186"/>
      <c r="ENK1" s="186"/>
      <c r="ENL1" s="186"/>
      <c r="ENM1" s="186"/>
      <c r="ENN1" s="186"/>
      <c r="ENO1" s="186"/>
      <c r="ENP1" s="186"/>
      <c r="ENQ1" s="186"/>
      <c r="ENR1" s="186"/>
      <c r="ENS1" s="186"/>
      <c r="ENT1" s="186"/>
      <c r="ENU1" s="186"/>
      <c r="ENV1" s="186"/>
      <c r="ENW1" s="186"/>
      <c r="ENX1" s="186"/>
      <c r="ENY1" s="186"/>
      <c r="ENZ1" s="186"/>
      <c r="EOA1" s="186"/>
      <c r="EOB1" s="186"/>
      <c r="EOC1" s="186"/>
      <c r="EOD1" s="186"/>
      <c r="EOE1" s="186"/>
      <c r="EOF1" s="186"/>
      <c r="EOG1" s="186"/>
      <c r="EOH1" s="186"/>
      <c r="EOI1" s="186"/>
      <c r="EOJ1" s="186"/>
      <c r="EOK1" s="186"/>
      <c r="EOL1" s="186"/>
      <c r="EOM1" s="186"/>
      <c r="EON1" s="186"/>
      <c r="EOO1" s="186"/>
      <c r="EOP1" s="186"/>
      <c r="EOQ1" s="186"/>
      <c r="EOR1" s="186"/>
      <c r="EOS1" s="186"/>
      <c r="EOT1" s="186"/>
      <c r="EOU1" s="186"/>
      <c r="EOV1" s="186"/>
      <c r="EOW1" s="186"/>
      <c r="EOX1" s="186"/>
      <c r="EOY1" s="186"/>
      <c r="EOZ1" s="186"/>
      <c r="EPA1" s="186"/>
      <c r="EPB1" s="186"/>
      <c r="EPC1" s="186"/>
      <c r="EPD1" s="186"/>
      <c r="EPE1" s="186"/>
      <c r="EPF1" s="186"/>
      <c r="EPG1" s="186"/>
      <c r="EPH1" s="186"/>
      <c r="EPI1" s="186"/>
      <c r="EPJ1" s="186"/>
      <c r="EPK1" s="186"/>
      <c r="EPL1" s="186"/>
      <c r="EPM1" s="186"/>
      <c r="EPN1" s="186"/>
      <c r="EPO1" s="186"/>
      <c r="EPP1" s="186"/>
      <c r="EPQ1" s="186"/>
      <c r="EPR1" s="186"/>
      <c r="EPS1" s="186"/>
      <c r="EPT1" s="186"/>
      <c r="EPU1" s="186"/>
      <c r="EPV1" s="186"/>
      <c r="EPW1" s="186"/>
      <c r="EPX1" s="186"/>
      <c r="EPY1" s="186"/>
      <c r="EPZ1" s="186"/>
      <c r="EQA1" s="186"/>
      <c r="EQB1" s="186"/>
      <c r="EQC1" s="186"/>
      <c r="EQD1" s="186"/>
      <c r="EQE1" s="186"/>
      <c r="EQF1" s="186"/>
      <c r="EQG1" s="186"/>
      <c r="EQH1" s="186"/>
      <c r="EQI1" s="186"/>
      <c r="EQJ1" s="186"/>
      <c r="EQK1" s="186"/>
      <c r="EQL1" s="186"/>
      <c r="EQM1" s="186"/>
      <c r="EQN1" s="186"/>
      <c r="EQO1" s="186"/>
      <c r="EQP1" s="186"/>
      <c r="EQQ1" s="186"/>
      <c r="EQR1" s="186"/>
      <c r="EQS1" s="186"/>
      <c r="EQT1" s="186"/>
      <c r="EQU1" s="186"/>
      <c r="EQV1" s="186"/>
      <c r="EQW1" s="186"/>
      <c r="EQX1" s="186"/>
      <c r="EQY1" s="186"/>
      <c r="EQZ1" s="186"/>
      <c r="ERA1" s="186"/>
      <c r="ERB1" s="186"/>
      <c r="ERC1" s="186"/>
      <c r="ERD1" s="186"/>
      <c r="ERE1" s="186"/>
      <c r="ERF1" s="186"/>
      <c r="ERG1" s="186"/>
      <c r="ERH1" s="186"/>
      <c r="ERI1" s="186"/>
      <c r="ERJ1" s="186"/>
      <c r="ERK1" s="186"/>
      <c r="ERL1" s="186"/>
      <c r="ERM1" s="186"/>
      <c r="ERN1" s="186"/>
      <c r="ERO1" s="186"/>
      <c r="ERP1" s="186"/>
      <c r="ERQ1" s="186"/>
      <c r="ERR1" s="186"/>
      <c r="ERS1" s="186"/>
      <c r="ERT1" s="186"/>
      <c r="ERU1" s="186"/>
      <c r="ERV1" s="186"/>
      <c r="ERW1" s="186"/>
      <c r="ERX1" s="186"/>
      <c r="ERY1" s="186"/>
      <c r="ERZ1" s="186"/>
      <c r="ESA1" s="186"/>
      <c r="ESB1" s="186"/>
      <c r="ESC1" s="186"/>
      <c r="ESD1" s="186"/>
      <c r="ESE1" s="186"/>
      <c r="ESF1" s="186"/>
      <c r="ESG1" s="186"/>
      <c r="ESH1" s="186"/>
      <c r="ESI1" s="186"/>
      <c r="ESJ1" s="186"/>
      <c r="ESK1" s="186"/>
      <c r="ESL1" s="186"/>
      <c r="ESM1" s="186"/>
      <c r="ESN1" s="186"/>
      <c r="ESO1" s="186"/>
      <c r="ESP1" s="186"/>
      <c r="ESQ1" s="186"/>
      <c r="ESR1" s="186"/>
      <c r="ESS1" s="186"/>
      <c r="EST1" s="186"/>
      <c r="ESU1" s="186"/>
      <c r="ESV1" s="186"/>
      <c r="ESW1" s="186"/>
      <c r="ESX1" s="186"/>
      <c r="ESY1" s="186"/>
      <c r="ESZ1" s="186"/>
      <c r="ETA1" s="186"/>
      <c r="ETB1" s="186"/>
      <c r="ETC1" s="186"/>
      <c r="ETD1" s="186"/>
      <c r="ETE1" s="186"/>
      <c r="ETF1" s="186"/>
      <c r="ETG1" s="186"/>
      <c r="ETH1" s="186"/>
      <c r="ETI1" s="186"/>
      <c r="ETJ1" s="186"/>
      <c r="ETK1" s="186"/>
      <c r="ETL1" s="186"/>
      <c r="ETM1" s="186"/>
      <c r="ETN1" s="186"/>
      <c r="ETO1" s="186"/>
      <c r="ETP1" s="186"/>
      <c r="ETQ1" s="186"/>
      <c r="ETR1" s="186"/>
      <c r="ETS1" s="186"/>
      <c r="ETT1" s="186"/>
      <c r="ETU1" s="186"/>
      <c r="ETV1" s="186"/>
      <c r="ETW1" s="186"/>
      <c r="ETX1" s="186"/>
      <c r="ETY1" s="186"/>
      <c r="ETZ1" s="186"/>
      <c r="EUA1" s="186"/>
      <c r="EUB1" s="186"/>
      <c r="EUC1" s="186"/>
      <c r="EUD1" s="186"/>
      <c r="EUE1" s="186"/>
      <c r="EUF1" s="186"/>
      <c r="EUG1" s="186"/>
      <c r="EUH1" s="186"/>
      <c r="EUI1" s="186"/>
      <c r="EUJ1" s="186"/>
      <c r="EUK1" s="186"/>
      <c r="EUL1" s="186"/>
      <c r="EUM1" s="186"/>
      <c r="EUN1" s="186"/>
      <c r="EUO1" s="186"/>
      <c r="EUP1" s="186"/>
      <c r="EUQ1" s="186"/>
      <c r="EUR1" s="186"/>
      <c r="EUS1" s="186"/>
      <c r="EUT1" s="186"/>
      <c r="EUU1" s="186"/>
      <c r="EUV1" s="186"/>
      <c r="EUW1" s="186"/>
      <c r="EUX1" s="186"/>
      <c r="EUY1" s="186"/>
      <c r="EUZ1" s="186"/>
      <c r="EVA1" s="186"/>
      <c r="EVB1" s="186"/>
      <c r="EVC1" s="186"/>
      <c r="EVD1" s="186"/>
      <c r="EVE1" s="186"/>
      <c r="EVF1" s="186"/>
      <c r="EVG1" s="186"/>
      <c r="EVH1" s="186"/>
      <c r="EVI1" s="186"/>
      <c r="EVJ1" s="186"/>
      <c r="EVK1" s="186"/>
      <c r="EVL1" s="186"/>
      <c r="EVM1" s="186"/>
      <c r="EVN1" s="186"/>
      <c r="EVO1" s="186"/>
      <c r="EVP1" s="186"/>
      <c r="EVQ1" s="186"/>
      <c r="EVR1" s="186"/>
      <c r="EVS1" s="186"/>
      <c r="EVT1" s="186"/>
      <c r="EVU1" s="186"/>
      <c r="EVV1" s="186"/>
      <c r="EVW1" s="186"/>
      <c r="EVX1" s="186"/>
      <c r="EVY1" s="186"/>
      <c r="EVZ1" s="186"/>
      <c r="EWA1" s="186"/>
      <c r="EWB1" s="186"/>
      <c r="EWC1" s="186"/>
      <c r="EWD1" s="186"/>
      <c r="EWE1" s="186"/>
      <c r="EWF1" s="186"/>
      <c r="EWG1" s="186"/>
      <c r="EWH1" s="186"/>
      <c r="EWI1" s="186"/>
      <c r="EWJ1" s="186"/>
      <c r="EWK1" s="186"/>
      <c r="EWL1" s="186"/>
      <c r="EWM1" s="186"/>
      <c r="EWN1" s="186"/>
      <c r="EWO1" s="186"/>
      <c r="EWP1" s="186"/>
      <c r="EWQ1" s="186"/>
      <c r="EWR1" s="186"/>
      <c r="EWS1" s="186"/>
      <c r="EWT1" s="186"/>
      <c r="EWU1" s="186"/>
      <c r="EWV1" s="186"/>
      <c r="EWW1" s="186"/>
      <c r="EWX1" s="186"/>
      <c r="EWY1" s="186"/>
      <c r="EWZ1" s="186"/>
      <c r="EXA1" s="186"/>
      <c r="EXB1" s="186"/>
      <c r="EXC1" s="186"/>
      <c r="EXD1" s="186"/>
      <c r="EXE1" s="186"/>
      <c r="EXF1" s="186"/>
      <c r="EXG1" s="186"/>
      <c r="EXH1" s="186"/>
      <c r="EXI1" s="186"/>
      <c r="EXJ1" s="186"/>
      <c r="EXK1" s="186"/>
      <c r="EXL1" s="186"/>
      <c r="EXM1" s="186"/>
      <c r="EXN1" s="186"/>
      <c r="EXO1" s="186"/>
      <c r="EXP1" s="186"/>
      <c r="EXQ1" s="186"/>
      <c r="EXR1" s="186"/>
      <c r="EXS1" s="186"/>
      <c r="EXT1" s="186"/>
      <c r="EXU1" s="186"/>
      <c r="EXV1" s="186"/>
      <c r="EXW1" s="186"/>
      <c r="EXX1" s="186"/>
      <c r="EXY1" s="186"/>
      <c r="EXZ1" s="186"/>
      <c r="EYA1" s="186"/>
      <c r="EYB1" s="186"/>
      <c r="EYC1" s="186"/>
      <c r="EYD1" s="186"/>
      <c r="EYE1" s="186"/>
      <c r="EYF1" s="186"/>
      <c r="EYG1" s="186"/>
      <c r="EYH1" s="186"/>
      <c r="EYI1" s="186"/>
      <c r="EYJ1" s="186"/>
      <c r="EYK1" s="186"/>
      <c r="EYL1" s="186"/>
      <c r="EYM1" s="186"/>
      <c r="EYN1" s="186"/>
      <c r="EYO1" s="186"/>
      <c r="EYP1" s="186"/>
      <c r="EYQ1" s="186"/>
      <c r="EYR1" s="186"/>
      <c r="EYS1" s="186"/>
      <c r="EYT1" s="186"/>
      <c r="EYU1" s="186"/>
      <c r="EYV1" s="186"/>
      <c r="EYW1" s="186"/>
      <c r="EYX1" s="186"/>
      <c r="EYY1" s="186"/>
      <c r="EYZ1" s="186"/>
      <c r="EZA1" s="186"/>
      <c r="EZB1" s="186"/>
      <c r="EZC1" s="186"/>
      <c r="EZD1" s="186"/>
      <c r="EZE1" s="186"/>
      <c r="EZF1" s="186"/>
      <c r="EZG1" s="186"/>
      <c r="EZH1" s="186"/>
      <c r="EZI1" s="186"/>
      <c r="EZJ1" s="186"/>
      <c r="EZK1" s="186"/>
      <c r="EZL1" s="186"/>
      <c r="EZM1" s="186"/>
      <c r="EZN1" s="186"/>
      <c r="EZO1" s="186"/>
      <c r="EZP1" s="186"/>
      <c r="EZQ1" s="186"/>
      <c r="EZR1" s="186"/>
      <c r="EZS1" s="186"/>
      <c r="EZT1" s="186"/>
      <c r="EZU1" s="186"/>
      <c r="EZV1" s="186"/>
      <c r="EZW1" s="186"/>
      <c r="EZX1" s="186"/>
      <c r="EZY1" s="186"/>
      <c r="EZZ1" s="186"/>
      <c r="FAA1" s="186"/>
      <c r="FAB1" s="186"/>
      <c r="FAC1" s="186"/>
      <c r="FAD1" s="186"/>
      <c r="FAE1" s="186"/>
      <c r="FAF1" s="186"/>
      <c r="FAG1" s="186"/>
      <c r="FAH1" s="186"/>
      <c r="FAI1" s="186"/>
      <c r="FAJ1" s="186"/>
      <c r="FAK1" s="186"/>
      <c r="FAL1" s="186"/>
      <c r="FAM1" s="186"/>
      <c r="FAN1" s="186"/>
      <c r="FAO1" s="186"/>
      <c r="FAP1" s="186"/>
      <c r="FAQ1" s="186"/>
      <c r="FAR1" s="186"/>
      <c r="FAS1" s="186"/>
      <c r="FAT1" s="186"/>
      <c r="FAU1" s="186"/>
      <c r="FAV1" s="186"/>
      <c r="FAW1" s="186"/>
      <c r="FAX1" s="186"/>
      <c r="FAY1" s="186"/>
      <c r="FAZ1" s="186"/>
      <c r="FBA1" s="186"/>
      <c r="FBB1" s="186"/>
      <c r="FBC1" s="186"/>
      <c r="FBD1" s="186"/>
      <c r="FBE1" s="186"/>
      <c r="FBF1" s="186"/>
      <c r="FBG1" s="186"/>
      <c r="FBH1" s="186"/>
      <c r="FBI1" s="186"/>
      <c r="FBJ1" s="186"/>
      <c r="FBK1" s="186"/>
      <c r="FBL1" s="186"/>
      <c r="FBM1" s="186"/>
      <c r="FBN1" s="186"/>
      <c r="FBO1" s="186"/>
      <c r="FBP1" s="186"/>
      <c r="FBQ1" s="186"/>
      <c r="FBR1" s="186"/>
      <c r="FBS1" s="186"/>
      <c r="FBT1" s="186"/>
      <c r="FBU1" s="186"/>
      <c r="FBV1" s="186"/>
      <c r="FBW1" s="186"/>
      <c r="FBX1" s="186"/>
      <c r="FBY1" s="186"/>
      <c r="FBZ1" s="186"/>
      <c r="FCA1" s="186"/>
      <c r="FCB1" s="186"/>
      <c r="FCC1" s="186"/>
      <c r="FCD1" s="186"/>
      <c r="FCE1" s="186"/>
      <c r="FCF1" s="186"/>
      <c r="FCG1" s="186"/>
      <c r="FCH1" s="186"/>
      <c r="FCI1" s="186"/>
      <c r="FCJ1" s="186"/>
      <c r="FCK1" s="186"/>
      <c r="FCL1" s="186"/>
      <c r="FCM1" s="186"/>
      <c r="FCN1" s="186"/>
      <c r="FCO1" s="186"/>
      <c r="FCP1" s="186"/>
      <c r="FCQ1" s="186"/>
      <c r="FCR1" s="186"/>
      <c r="FCS1" s="186"/>
      <c r="FCT1" s="186"/>
      <c r="FCU1" s="186"/>
      <c r="FCV1" s="186"/>
      <c r="FCW1" s="186"/>
      <c r="FCX1" s="186"/>
      <c r="FCY1" s="186"/>
      <c r="FCZ1" s="186"/>
      <c r="FDA1" s="186"/>
      <c r="FDB1" s="186"/>
      <c r="FDC1" s="186"/>
      <c r="FDD1" s="186"/>
      <c r="FDE1" s="186"/>
      <c r="FDF1" s="186"/>
      <c r="FDG1" s="186"/>
      <c r="FDH1" s="186"/>
      <c r="FDI1" s="186"/>
      <c r="FDJ1" s="186"/>
      <c r="FDK1" s="186"/>
      <c r="FDL1" s="186"/>
      <c r="FDM1" s="186"/>
      <c r="FDN1" s="186"/>
      <c r="FDO1" s="186"/>
      <c r="FDP1" s="186"/>
      <c r="FDQ1" s="186"/>
      <c r="FDR1" s="186"/>
      <c r="FDS1" s="186"/>
      <c r="FDT1" s="186"/>
      <c r="FDU1" s="186"/>
      <c r="FDV1" s="186"/>
      <c r="FDW1" s="186"/>
      <c r="FDX1" s="186"/>
      <c r="FDY1" s="186"/>
      <c r="FDZ1" s="186"/>
      <c r="FEA1" s="186"/>
      <c r="FEB1" s="186"/>
      <c r="FEC1" s="186"/>
      <c r="FED1" s="186"/>
      <c r="FEE1" s="186"/>
      <c r="FEF1" s="186"/>
      <c r="FEG1" s="186"/>
      <c r="FEH1" s="186"/>
      <c r="FEI1" s="186"/>
      <c r="FEJ1" s="186"/>
      <c r="FEK1" s="186"/>
      <c r="FEL1" s="186"/>
      <c r="FEM1" s="186"/>
      <c r="FEN1" s="186"/>
      <c r="FEO1" s="186"/>
      <c r="FEP1" s="186"/>
      <c r="FEQ1" s="186"/>
      <c r="FER1" s="186"/>
      <c r="FES1" s="186"/>
      <c r="FET1" s="186"/>
      <c r="FEU1" s="186"/>
      <c r="FEV1" s="186"/>
      <c r="FEW1" s="186"/>
      <c r="FEX1" s="186"/>
      <c r="FEY1" s="186"/>
      <c r="FEZ1" s="186"/>
      <c r="FFA1" s="186"/>
      <c r="FFB1" s="186"/>
      <c r="FFC1" s="186"/>
      <c r="FFD1" s="186"/>
      <c r="FFE1" s="186"/>
      <c r="FFF1" s="186"/>
      <c r="FFG1" s="186"/>
      <c r="FFH1" s="186"/>
      <c r="FFI1" s="186"/>
      <c r="FFJ1" s="186"/>
      <c r="FFK1" s="186"/>
      <c r="FFL1" s="186"/>
      <c r="FFM1" s="186"/>
      <c r="FFN1" s="186"/>
      <c r="FFO1" s="186"/>
      <c r="FFP1" s="186"/>
      <c r="FFQ1" s="186"/>
      <c r="FFR1" s="186"/>
      <c r="FFS1" s="186"/>
      <c r="FFT1" s="186"/>
      <c r="FFU1" s="186"/>
      <c r="FFV1" s="186"/>
      <c r="FFW1" s="186"/>
      <c r="FFX1" s="186"/>
      <c r="FFY1" s="186"/>
      <c r="FFZ1" s="186"/>
      <c r="FGA1" s="186"/>
      <c r="FGB1" s="186"/>
      <c r="FGC1" s="186"/>
      <c r="FGD1" s="186"/>
      <c r="FGE1" s="186"/>
      <c r="FGF1" s="186"/>
      <c r="FGG1" s="186"/>
      <c r="FGH1" s="186"/>
      <c r="FGI1" s="186"/>
      <c r="FGJ1" s="186"/>
      <c r="FGK1" s="186"/>
      <c r="FGL1" s="186"/>
      <c r="FGM1" s="186"/>
      <c r="FGN1" s="186"/>
      <c r="FGO1" s="186"/>
      <c r="FGP1" s="186"/>
      <c r="FGQ1" s="186"/>
      <c r="FGR1" s="186"/>
      <c r="FGS1" s="186"/>
      <c r="FGT1" s="186"/>
      <c r="FGU1" s="186"/>
      <c r="FGV1" s="186"/>
      <c r="FGW1" s="186"/>
      <c r="FGX1" s="186"/>
      <c r="FGY1" s="186"/>
      <c r="FGZ1" s="186"/>
      <c r="FHA1" s="186"/>
      <c r="FHB1" s="186"/>
      <c r="FHC1" s="186"/>
      <c r="FHD1" s="186"/>
      <c r="FHE1" s="186"/>
      <c r="FHF1" s="186"/>
      <c r="FHG1" s="186"/>
      <c r="FHH1" s="186"/>
      <c r="FHI1" s="186"/>
      <c r="FHJ1" s="186"/>
      <c r="FHK1" s="186"/>
      <c r="FHL1" s="186"/>
      <c r="FHM1" s="186"/>
      <c r="FHN1" s="186"/>
      <c r="FHO1" s="186"/>
      <c r="FHP1" s="186"/>
      <c r="FHQ1" s="186"/>
      <c r="FHR1" s="186"/>
      <c r="FHS1" s="186"/>
      <c r="FHT1" s="186"/>
      <c r="FHU1" s="186"/>
      <c r="FHV1" s="186"/>
      <c r="FHW1" s="186"/>
      <c r="FHX1" s="186"/>
      <c r="FHY1" s="186"/>
      <c r="FHZ1" s="186"/>
      <c r="FIA1" s="186"/>
      <c r="FIB1" s="186"/>
      <c r="FIC1" s="186"/>
      <c r="FID1" s="186"/>
      <c r="FIE1" s="186"/>
      <c r="FIF1" s="186"/>
      <c r="FIG1" s="186"/>
      <c r="FIH1" s="186"/>
      <c r="FII1" s="186"/>
      <c r="FIJ1" s="186"/>
      <c r="FIK1" s="186"/>
      <c r="FIL1" s="186"/>
      <c r="FIM1" s="186"/>
      <c r="FIN1" s="186"/>
      <c r="FIO1" s="186"/>
      <c r="FIP1" s="186"/>
      <c r="FIQ1" s="186"/>
      <c r="FIR1" s="186"/>
      <c r="FIS1" s="186"/>
      <c r="FIT1" s="186"/>
      <c r="FIU1" s="186"/>
      <c r="FIV1" s="186"/>
      <c r="FIW1" s="186"/>
      <c r="FIX1" s="186"/>
      <c r="FIY1" s="186"/>
      <c r="FIZ1" s="186"/>
      <c r="FJA1" s="186"/>
      <c r="FJB1" s="186"/>
      <c r="FJC1" s="186"/>
      <c r="FJD1" s="186"/>
      <c r="FJE1" s="186"/>
      <c r="FJF1" s="186"/>
      <c r="FJG1" s="186"/>
      <c r="FJH1" s="186"/>
      <c r="FJI1" s="186"/>
      <c r="FJJ1" s="186"/>
      <c r="FJK1" s="186"/>
      <c r="FJL1" s="186"/>
      <c r="FJM1" s="186"/>
      <c r="FJN1" s="186"/>
      <c r="FJO1" s="186"/>
      <c r="FJP1" s="186"/>
      <c r="FJQ1" s="186"/>
      <c r="FJR1" s="186"/>
      <c r="FJS1" s="186"/>
      <c r="FJT1" s="186"/>
      <c r="FJU1" s="186"/>
      <c r="FJV1" s="186"/>
      <c r="FJW1" s="186"/>
      <c r="FJX1" s="186"/>
      <c r="FJY1" s="186"/>
      <c r="FJZ1" s="186"/>
      <c r="FKA1" s="186"/>
      <c r="FKB1" s="186"/>
      <c r="FKC1" s="186"/>
      <c r="FKD1" s="186"/>
      <c r="FKE1" s="186"/>
      <c r="FKF1" s="186"/>
      <c r="FKG1" s="186"/>
      <c r="FKH1" s="186"/>
      <c r="FKI1" s="186"/>
      <c r="FKJ1" s="186"/>
      <c r="FKK1" s="186"/>
      <c r="FKL1" s="186"/>
      <c r="FKM1" s="186"/>
      <c r="FKN1" s="186"/>
      <c r="FKO1" s="186"/>
      <c r="FKP1" s="186"/>
      <c r="FKQ1" s="186"/>
      <c r="FKR1" s="186"/>
      <c r="FKS1" s="186"/>
      <c r="FKT1" s="186"/>
      <c r="FKU1" s="186"/>
      <c r="FKV1" s="186"/>
      <c r="FKW1" s="186"/>
      <c r="FKX1" s="186"/>
      <c r="FKY1" s="186"/>
      <c r="FKZ1" s="186"/>
      <c r="FLA1" s="186"/>
      <c r="FLB1" s="186"/>
      <c r="FLC1" s="186"/>
      <c r="FLD1" s="186"/>
      <c r="FLE1" s="186"/>
      <c r="FLF1" s="186"/>
      <c r="FLG1" s="186"/>
      <c r="FLH1" s="186"/>
      <c r="FLI1" s="186"/>
      <c r="FLJ1" s="186"/>
      <c r="FLK1" s="186"/>
      <c r="FLL1" s="186"/>
      <c r="FLM1" s="186"/>
      <c r="FLN1" s="186"/>
      <c r="FLO1" s="186"/>
      <c r="FLP1" s="186"/>
      <c r="FLQ1" s="186"/>
      <c r="FLR1" s="186"/>
      <c r="FLS1" s="186"/>
      <c r="FLT1" s="186"/>
      <c r="FLU1" s="186"/>
      <c r="FLV1" s="186"/>
      <c r="FLW1" s="186"/>
      <c r="FLX1" s="186"/>
      <c r="FLY1" s="186"/>
      <c r="FLZ1" s="186"/>
      <c r="FMA1" s="186"/>
      <c r="FMB1" s="186"/>
      <c r="FMC1" s="186"/>
      <c r="FMD1" s="186"/>
      <c r="FME1" s="186"/>
      <c r="FMF1" s="186"/>
      <c r="FMG1" s="186"/>
      <c r="FMH1" s="186"/>
      <c r="FMI1" s="186"/>
      <c r="FMJ1" s="186"/>
      <c r="FMK1" s="186"/>
      <c r="FML1" s="186"/>
      <c r="FMM1" s="186"/>
      <c r="FMN1" s="186"/>
      <c r="FMO1" s="186"/>
      <c r="FMP1" s="186"/>
      <c r="FMQ1" s="186"/>
      <c r="FMR1" s="186"/>
      <c r="FMS1" s="186"/>
      <c r="FMT1" s="186"/>
      <c r="FMU1" s="186"/>
      <c r="FMV1" s="186"/>
      <c r="FMW1" s="186"/>
      <c r="FMX1" s="186"/>
      <c r="FMY1" s="186"/>
      <c r="FMZ1" s="186"/>
      <c r="FNA1" s="186"/>
      <c r="FNB1" s="186"/>
      <c r="FNC1" s="186"/>
      <c r="FND1" s="186"/>
      <c r="FNE1" s="186"/>
      <c r="FNF1" s="186"/>
      <c r="FNG1" s="186"/>
      <c r="FNH1" s="186"/>
      <c r="FNI1" s="186"/>
      <c r="FNJ1" s="186"/>
      <c r="FNK1" s="186"/>
      <c r="FNL1" s="186"/>
      <c r="FNM1" s="186"/>
      <c r="FNN1" s="186"/>
      <c r="FNO1" s="186"/>
      <c r="FNP1" s="186"/>
      <c r="FNQ1" s="186"/>
      <c r="FNR1" s="186"/>
      <c r="FNS1" s="186"/>
      <c r="FNT1" s="186"/>
      <c r="FNU1" s="186"/>
      <c r="FNV1" s="186"/>
      <c r="FNW1" s="186"/>
      <c r="FNX1" s="186"/>
      <c r="FNY1" s="186"/>
      <c r="FNZ1" s="186"/>
      <c r="FOA1" s="186"/>
      <c r="FOB1" s="186"/>
      <c r="FOC1" s="186"/>
      <c r="FOD1" s="186"/>
      <c r="FOE1" s="186"/>
      <c r="FOF1" s="186"/>
      <c r="FOG1" s="186"/>
      <c r="FOH1" s="186"/>
      <c r="FOI1" s="186"/>
      <c r="FOJ1" s="186"/>
      <c r="FOK1" s="186"/>
      <c r="FOL1" s="186"/>
      <c r="FOM1" s="186"/>
      <c r="FON1" s="186"/>
      <c r="FOO1" s="186"/>
      <c r="FOP1" s="186"/>
      <c r="FOQ1" s="186"/>
      <c r="FOR1" s="186"/>
      <c r="FOS1" s="186"/>
      <c r="FOT1" s="186"/>
      <c r="FOU1" s="186"/>
      <c r="FOV1" s="186"/>
      <c r="FOW1" s="186"/>
      <c r="FOX1" s="186"/>
      <c r="FOY1" s="186"/>
      <c r="FOZ1" s="186"/>
      <c r="FPA1" s="186"/>
      <c r="FPB1" s="186"/>
      <c r="FPC1" s="186"/>
      <c r="FPD1" s="186"/>
      <c r="FPE1" s="186"/>
      <c r="FPF1" s="186"/>
      <c r="FPG1" s="186"/>
      <c r="FPH1" s="186"/>
      <c r="FPI1" s="186"/>
      <c r="FPJ1" s="186"/>
      <c r="FPK1" s="186"/>
      <c r="FPL1" s="186"/>
      <c r="FPM1" s="186"/>
      <c r="FPN1" s="186"/>
      <c r="FPO1" s="186"/>
      <c r="FPP1" s="186"/>
      <c r="FPQ1" s="186"/>
      <c r="FPR1" s="186"/>
      <c r="FPS1" s="186"/>
      <c r="FPT1" s="186"/>
      <c r="FPU1" s="186"/>
      <c r="FPV1" s="186"/>
      <c r="FPW1" s="186"/>
      <c r="FPX1" s="186"/>
      <c r="FPY1" s="186"/>
      <c r="FPZ1" s="186"/>
      <c r="FQA1" s="186"/>
      <c r="FQB1" s="186"/>
      <c r="FQC1" s="186"/>
      <c r="FQD1" s="186"/>
      <c r="FQE1" s="186"/>
      <c r="FQF1" s="186"/>
      <c r="FQG1" s="186"/>
      <c r="FQH1" s="186"/>
      <c r="FQI1" s="186"/>
      <c r="FQJ1" s="186"/>
      <c r="FQK1" s="186"/>
      <c r="FQL1" s="186"/>
      <c r="FQM1" s="186"/>
      <c r="FQN1" s="186"/>
      <c r="FQO1" s="186"/>
      <c r="FQP1" s="186"/>
      <c r="FQQ1" s="186"/>
      <c r="FQR1" s="186"/>
      <c r="FQS1" s="186"/>
      <c r="FQT1" s="186"/>
      <c r="FQU1" s="186"/>
      <c r="FQV1" s="186"/>
      <c r="FQW1" s="186"/>
      <c r="FQX1" s="186"/>
      <c r="FQY1" s="186"/>
      <c r="FQZ1" s="186"/>
      <c r="FRA1" s="186"/>
      <c r="FRB1" s="186"/>
      <c r="FRC1" s="186"/>
      <c r="FRD1" s="186"/>
      <c r="FRE1" s="186"/>
      <c r="FRF1" s="186"/>
      <c r="FRG1" s="186"/>
      <c r="FRH1" s="186"/>
      <c r="FRI1" s="186"/>
      <c r="FRJ1" s="186"/>
      <c r="FRK1" s="186"/>
      <c r="FRL1" s="186"/>
      <c r="FRM1" s="186"/>
      <c r="FRN1" s="186"/>
      <c r="FRO1" s="186"/>
      <c r="FRP1" s="186"/>
      <c r="FRQ1" s="186"/>
      <c r="FRR1" s="186"/>
      <c r="FRS1" s="186"/>
      <c r="FRT1" s="186"/>
      <c r="FRU1" s="186"/>
      <c r="FRV1" s="186"/>
      <c r="FRW1" s="186"/>
      <c r="FRX1" s="186"/>
      <c r="FRY1" s="186"/>
      <c r="FRZ1" s="186"/>
      <c r="FSA1" s="186"/>
      <c r="FSB1" s="186"/>
      <c r="FSC1" s="186"/>
      <c r="FSD1" s="186"/>
      <c r="FSE1" s="186"/>
      <c r="FSF1" s="186"/>
      <c r="FSG1" s="186"/>
      <c r="FSH1" s="186"/>
      <c r="FSI1" s="186"/>
      <c r="FSJ1" s="186"/>
      <c r="FSK1" s="186"/>
      <c r="FSL1" s="186"/>
      <c r="FSM1" s="186"/>
      <c r="FSN1" s="186"/>
      <c r="FSO1" s="186"/>
      <c r="FSP1" s="186"/>
      <c r="FSQ1" s="186"/>
      <c r="FSR1" s="186"/>
      <c r="FSS1" s="186"/>
      <c r="FST1" s="186"/>
      <c r="FSU1" s="186"/>
      <c r="FSV1" s="186"/>
      <c r="FSW1" s="186"/>
      <c r="FSX1" s="186"/>
      <c r="FSY1" s="186"/>
      <c r="FSZ1" s="186"/>
      <c r="FTA1" s="186"/>
      <c r="FTB1" s="186"/>
      <c r="FTC1" s="186"/>
      <c r="FTD1" s="186"/>
      <c r="FTE1" s="186"/>
      <c r="FTF1" s="186"/>
      <c r="FTG1" s="186"/>
      <c r="FTH1" s="186"/>
      <c r="FTI1" s="186"/>
      <c r="FTJ1" s="186"/>
      <c r="FTK1" s="186"/>
      <c r="FTL1" s="186"/>
      <c r="FTM1" s="186"/>
      <c r="FTN1" s="186"/>
      <c r="FTO1" s="186"/>
      <c r="FTP1" s="186"/>
      <c r="FTQ1" s="186"/>
      <c r="FTR1" s="186"/>
      <c r="FTS1" s="186"/>
      <c r="FTT1" s="186"/>
      <c r="FTU1" s="186"/>
      <c r="FTV1" s="186"/>
      <c r="FTW1" s="186"/>
      <c r="FTX1" s="186"/>
      <c r="FTY1" s="186"/>
      <c r="FTZ1" s="186"/>
      <c r="FUA1" s="186"/>
      <c r="FUB1" s="186"/>
      <c r="FUC1" s="186"/>
      <c r="FUD1" s="186"/>
      <c r="FUE1" s="186"/>
      <c r="FUF1" s="186"/>
      <c r="FUG1" s="186"/>
      <c r="FUH1" s="186"/>
      <c r="FUI1" s="186"/>
      <c r="FUJ1" s="186"/>
      <c r="FUK1" s="186"/>
      <c r="FUL1" s="186"/>
      <c r="FUM1" s="186"/>
      <c r="FUN1" s="186"/>
      <c r="FUO1" s="186"/>
      <c r="FUP1" s="186"/>
      <c r="FUQ1" s="186"/>
      <c r="FUR1" s="186"/>
      <c r="FUS1" s="186"/>
      <c r="FUT1" s="186"/>
      <c r="FUU1" s="186"/>
      <c r="FUV1" s="186"/>
      <c r="FUW1" s="186"/>
      <c r="FUX1" s="186"/>
      <c r="FUY1" s="186"/>
      <c r="FUZ1" s="186"/>
      <c r="FVA1" s="186"/>
      <c r="FVB1" s="186"/>
      <c r="FVC1" s="186"/>
      <c r="FVD1" s="186"/>
      <c r="FVE1" s="186"/>
      <c r="FVF1" s="186"/>
      <c r="FVG1" s="186"/>
      <c r="FVH1" s="186"/>
      <c r="FVI1" s="186"/>
      <c r="FVJ1" s="186"/>
      <c r="FVK1" s="186"/>
      <c r="FVL1" s="186"/>
      <c r="FVM1" s="186"/>
      <c r="FVN1" s="186"/>
      <c r="FVO1" s="186"/>
      <c r="FVP1" s="186"/>
      <c r="FVQ1" s="186"/>
      <c r="FVR1" s="186"/>
      <c r="FVS1" s="186"/>
      <c r="FVT1" s="186"/>
      <c r="FVU1" s="186"/>
      <c r="FVV1" s="186"/>
      <c r="FVW1" s="186"/>
      <c r="FVX1" s="186"/>
      <c r="FVY1" s="186"/>
      <c r="FVZ1" s="186"/>
      <c r="FWA1" s="186"/>
      <c r="FWB1" s="186"/>
      <c r="FWC1" s="186"/>
      <c r="FWD1" s="186"/>
      <c r="FWE1" s="186"/>
      <c r="FWF1" s="186"/>
      <c r="FWG1" s="186"/>
      <c r="FWH1" s="186"/>
      <c r="FWI1" s="186"/>
      <c r="FWJ1" s="186"/>
      <c r="FWK1" s="186"/>
      <c r="FWL1" s="186"/>
      <c r="FWM1" s="186"/>
      <c r="FWN1" s="186"/>
      <c r="FWO1" s="186"/>
      <c r="FWP1" s="186"/>
      <c r="FWQ1" s="186"/>
      <c r="FWR1" s="186"/>
      <c r="FWS1" s="186"/>
      <c r="FWT1" s="186"/>
      <c r="FWU1" s="186"/>
      <c r="FWV1" s="186"/>
      <c r="FWW1" s="186"/>
      <c r="FWX1" s="186"/>
      <c r="FWY1" s="186"/>
      <c r="FWZ1" s="186"/>
      <c r="FXA1" s="186"/>
      <c r="FXB1" s="186"/>
      <c r="FXC1" s="186"/>
      <c r="FXD1" s="186"/>
      <c r="FXE1" s="186"/>
      <c r="FXF1" s="186"/>
      <c r="FXG1" s="186"/>
      <c r="FXH1" s="186"/>
      <c r="FXI1" s="186"/>
      <c r="FXJ1" s="186"/>
      <c r="FXK1" s="186"/>
      <c r="FXL1" s="186"/>
      <c r="FXM1" s="186"/>
      <c r="FXN1" s="186"/>
      <c r="FXO1" s="186"/>
      <c r="FXP1" s="186"/>
      <c r="FXQ1" s="186"/>
      <c r="FXR1" s="186"/>
      <c r="FXS1" s="186"/>
      <c r="FXT1" s="186"/>
      <c r="FXU1" s="186"/>
      <c r="FXV1" s="186"/>
      <c r="FXW1" s="186"/>
      <c r="FXX1" s="186"/>
      <c r="FXY1" s="186"/>
      <c r="FXZ1" s="186"/>
      <c r="FYA1" s="186"/>
      <c r="FYB1" s="186"/>
      <c r="FYC1" s="186"/>
      <c r="FYD1" s="186"/>
      <c r="FYE1" s="186"/>
      <c r="FYF1" s="186"/>
      <c r="FYG1" s="186"/>
      <c r="FYH1" s="186"/>
      <c r="FYI1" s="186"/>
      <c r="FYJ1" s="186"/>
      <c r="FYK1" s="186"/>
      <c r="FYL1" s="186"/>
      <c r="FYM1" s="186"/>
      <c r="FYN1" s="186"/>
      <c r="FYO1" s="186"/>
      <c r="FYP1" s="186"/>
      <c r="FYQ1" s="186"/>
      <c r="FYR1" s="186"/>
      <c r="FYS1" s="186"/>
      <c r="FYT1" s="186"/>
      <c r="FYU1" s="186"/>
      <c r="FYV1" s="186"/>
      <c r="FYW1" s="186"/>
      <c r="FYX1" s="186"/>
      <c r="FYY1" s="186"/>
      <c r="FYZ1" s="186"/>
      <c r="FZA1" s="186"/>
      <c r="FZB1" s="186"/>
      <c r="FZC1" s="186"/>
      <c r="FZD1" s="186"/>
      <c r="FZE1" s="186"/>
      <c r="FZF1" s="186"/>
      <c r="FZG1" s="186"/>
      <c r="FZH1" s="186"/>
      <c r="FZI1" s="186"/>
      <c r="FZJ1" s="186"/>
      <c r="FZK1" s="186"/>
      <c r="FZL1" s="186"/>
      <c r="FZM1" s="186"/>
      <c r="FZN1" s="186"/>
      <c r="FZO1" s="186"/>
      <c r="FZP1" s="186"/>
      <c r="FZQ1" s="186"/>
      <c r="FZR1" s="186"/>
      <c r="FZS1" s="186"/>
      <c r="FZT1" s="186"/>
      <c r="FZU1" s="186"/>
      <c r="FZV1" s="186"/>
      <c r="FZW1" s="186"/>
      <c r="FZX1" s="186"/>
      <c r="FZY1" s="186"/>
      <c r="FZZ1" s="186"/>
      <c r="GAA1" s="186"/>
      <c r="GAB1" s="186"/>
      <c r="GAC1" s="186"/>
      <c r="GAD1" s="186"/>
      <c r="GAE1" s="186"/>
      <c r="GAF1" s="186"/>
      <c r="GAG1" s="186"/>
      <c r="GAH1" s="186"/>
      <c r="GAI1" s="186"/>
      <c r="GAJ1" s="186"/>
      <c r="GAK1" s="186"/>
      <c r="GAL1" s="186"/>
      <c r="GAM1" s="186"/>
      <c r="GAN1" s="186"/>
      <c r="GAO1" s="186"/>
      <c r="GAP1" s="186"/>
      <c r="GAQ1" s="186"/>
      <c r="GAR1" s="186"/>
      <c r="GAS1" s="186"/>
      <c r="GAT1" s="186"/>
      <c r="GAU1" s="186"/>
      <c r="GAV1" s="186"/>
      <c r="GAW1" s="186"/>
      <c r="GAX1" s="186"/>
      <c r="GAY1" s="186"/>
      <c r="GAZ1" s="186"/>
      <c r="GBA1" s="186"/>
      <c r="GBB1" s="186"/>
      <c r="GBC1" s="186"/>
      <c r="GBD1" s="186"/>
      <c r="GBE1" s="186"/>
      <c r="GBF1" s="186"/>
      <c r="GBG1" s="186"/>
      <c r="GBH1" s="186"/>
      <c r="GBI1" s="186"/>
      <c r="GBJ1" s="186"/>
      <c r="GBK1" s="186"/>
      <c r="GBL1" s="186"/>
      <c r="GBM1" s="186"/>
      <c r="GBN1" s="186"/>
      <c r="GBO1" s="186"/>
      <c r="GBP1" s="186"/>
      <c r="GBQ1" s="186"/>
      <c r="GBR1" s="186"/>
      <c r="GBS1" s="186"/>
      <c r="GBT1" s="186"/>
      <c r="GBU1" s="186"/>
      <c r="GBV1" s="186"/>
      <c r="GBW1" s="186"/>
      <c r="GBX1" s="186"/>
      <c r="GBY1" s="186"/>
      <c r="GBZ1" s="186"/>
      <c r="GCA1" s="186"/>
      <c r="GCB1" s="186"/>
      <c r="GCC1" s="186"/>
      <c r="GCD1" s="186"/>
      <c r="GCE1" s="186"/>
      <c r="GCF1" s="186"/>
      <c r="GCG1" s="186"/>
      <c r="GCH1" s="186"/>
      <c r="GCI1" s="186"/>
      <c r="GCJ1" s="186"/>
      <c r="GCK1" s="186"/>
      <c r="GCL1" s="186"/>
      <c r="GCM1" s="186"/>
      <c r="GCN1" s="186"/>
      <c r="GCO1" s="186"/>
      <c r="GCP1" s="186"/>
      <c r="GCQ1" s="186"/>
      <c r="GCR1" s="186"/>
      <c r="GCS1" s="186"/>
      <c r="GCT1" s="186"/>
      <c r="GCU1" s="186"/>
      <c r="GCV1" s="186"/>
      <c r="GCW1" s="186"/>
      <c r="GCX1" s="186"/>
      <c r="GCY1" s="186"/>
      <c r="GCZ1" s="186"/>
      <c r="GDA1" s="186"/>
      <c r="GDB1" s="186"/>
      <c r="GDC1" s="186"/>
      <c r="GDD1" s="186"/>
      <c r="GDE1" s="186"/>
      <c r="GDF1" s="186"/>
      <c r="GDG1" s="186"/>
      <c r="GDH1" s="186"/>
      <c r="GDI1" s="186"/>
      <c r="GDJ1" s="186"/>
      <c r="GDK1" s="186"/>
      <c r="GDL1" s="186"/>
      <c r="GDM1" s="186"/>
      <c r="GDN1" s="186"/>
      <c r="GDO1" s="186"/>
      <c r="GDP1" s="186"/>
      <c r="GDQ1" s="186"/>
      <c r="GDR1" s="186"/>
      <c r="GDS1" s="186"/>
      <c r="GDT1" s="186"/>
      <c r="GDU1" s="186"/>
      <c r="GDV1" s="186"/>
      <c r="GDW1" s="186"/>
      <c r="GDX1" s="186"/>
      <c r="GDY1" s="186"/>
      <c r="GDZ1" s="186"/>
      <c r="GEA1" s="186"/>
      <c r="GEB1" s="186"/>
      <c r="GEC1" s="186"/>
      <c r="GED1" s="186"/>
      <c r="GEE1" s="186"/>
      <c r="GEF1" s="186"/>
      <c r="GEG1" s="186"/>
      <c r="GEH1" s="186"/>
      <c r="GEI1" s="186"/>
      <c r="GEJ1" s="186"/>
      <c r="GEK1" s="186"/>
      <c r="GEL1" s="186"/>
      <c r="GEM1" s="186"/>
      <c r="GEN1" s="186"/>
      <c r="GEO1" s="186"/>
      <c r="GEP1" s="186"/>
      <c r="GEQ1" s="186"/>
      <c r="GER1" s="186"/>
      <c r="GES1" s="186"/>
      <c r="GET1" s="186"/>
      <c r="GEU1" s="186"/>
      <c r="GEV1" s="186"/>
      <c r="GEW1" s="186"/>
      <c r="GEX1" s="186"/>
      <c r="GEY1" s="186"/>
      <c r="GEZ1" s="186"/>
      <c r="GFA1" s="186"/>
      <c r="GFB1" s="186"/>
      <c r="GFC1" s="186"/>
      <c r="GFD1" s="186"/>
      <c r="GFE1" s="186"/>
      <c r="GFF1" s="186"/>
      <c r="GFG1" s="186"/>
      <c r="GFH1" s="186"/>
      <c r="GFI1" s="186"/>
      <c r="GFJ1" s="186"/>
      <c r="GFK1" s="186"/>
      <c r="GFL1" s="186"/>
      <c r="GFM1" s="186"/>
      <c r="GFN1" s="186"/>
      <c r="GFO1" s="186"/>
      <c r="GFP1" s="186"/>
      <c r="GFQ1" s="186"/>
      <c r="GFR1" s="186"/>
      <c r="GFS1" s="186"/>
      <c r="GFT1" s="186"/>
      <c r="GFU1" s="186"/>
      <c r="GFV1" s="186"/>
      <c r="GFW1" s="186"/>
      <c r="GFX1" s="186"/>
      <c r="GFY1" s="186"/>
      <c r="GFZ1" s="186"/>
      <c r="GGA1" s="186"/>
      <c r="GGB1" s="186"/>
      <c r="GGC1" s="186"/>
      <c r="GGD1" s="186"/>
      <c r="GGE1" s="186"/>
      <c r="GGF1" s="186"/>
      <c r="GGG1" s="186"/>
      <c r="GGH1" s="186"/>
      <c r="GGI1" s="186"/>
      <c r="GGJ1" s="186"/>
      <c r="GGK1" s="186"/>
      <c r="GGL1" s="186"/>
      <c r="GGM1" s="186"/>
      <c r="GGN1" s="186"/>
      <c r="GGO1" s="186"/>
      <c r="GGP1" s="186"/>
      <c r="GGQ1" s="186"/>
      <c r="GGR1" s="186"/>
      <c r="GGS1" s="186"/>
      <c r="GGT1" s="186"/>
      <c r="GGU1" s="186"/>
      <c r="GGV1" s="186"/>
      <c r="GGW1" s="186"/>
      <c r="GGX1" s="186"/>
      <c r="GGY1" s="186"/>
      <c r="GGZ1" s="186"/>
      <c r="GHA1" s="186"/>
      <c r="GHB1" s="186"/>
      <c r="GHC1" s="186"/>
      <c r="GHD1" s="186"/>
      <c r="GHE1" s="186"/>
      <c r="GHF1" s="186"/>
      <c r="GHG1" s="186"/>
      <c r="GHH1" s="186"/>
      <c r="GHI1" s="186"/>
      <c r="GHJ1" s="186"/>
      <c r="GHK1" s="186"/>
      <c r="GHL1" s="186"/>
      <c r="GHM1" s="186"/>
      <c r="GHN1" s="186"/>
      <c r="GHO1" s="186"/>
      <c r="GHP1" s="186"/>
      <c r="GHQ1" s="186"/>
      <c r="GHR1" s="186"/>
      <c r="GHS1" s="186"/>
      <c r="GHT1" s="186"/>
      <c r="GHU1" s="186"/>
      <c r="GHV1" s="186"/>
      <c r="GHW1" s="186"/>
      <c r="GHX1" s="186"/>
      <c r="GHY1" s="186"/>
      <c r="GHZ1" s="186"/>
      <c r="GIA1" s="186"/>
      <c r="GIB1" s="186"/>
      <c r="GIC1" s="186"/>
      <c r="GID1" s="186"/>
      <c r="GIE1" s="186"/>
      <c r="GIF1" s="186"/>
      <c r="GIG1" s="186"/>
      <c r="GIH1" s="186"/>
      <c r="GII1" s="186"/>
      <c r="GIJ1" s="186"/>
      <c r="GIK1" s="186"/>
      <c r="GIL1" s="186"/>
      <c r="GIM1" s="186"/>
      <c r="GIN1" s="186"/>
      <c r="GIO1" s="186"/>
      <c r="GIP1" s="186"/>
      <c r="GIQ1" s="186"/>
      <c r="GIR1" s="186"/>
      <c r="GIS1" s="186"/>
      <c r="GIT1" s="186"/>
      <c r="GIU1" s="186"/>
      <c r="GIV1" s="186"/>
      <c r="GIW1" s="186"/>
      <c r="GIX1" s="186"/>
      <c r="GIY1" s="186"/>
      <c r="GIZ1" s="186"/>
      <c r="GJA1" s="186"/>
      <c r="GJB1" s="186"/>
      <c r="GJC1" s="186"/>
      <c r="GJD1" s="186"/>
      <c r="GJE1" s="186"/>
      <c r="GJF1" s="186"/>
      <c r="GJG1" s="186"/>
      <c r="GJH1" s="186"/>
      <c r="GJI1" s="186"/>
      <c r="GJJ1" s="186"/>
      <c r="GJK1" s="186"/>
      <c r="GJL1" s="186"/>
      <c r="GJM1" s="186"/>
      <c r="GJN1" s="186"/>
      <c r="GJO1" s="186"/>
      <c r="GJP1" s="186"/>
      <c r="GJQ1" s="186"/>
      <c r="GJR1" s="186"/>
      <c r="GJS1" s="186"/>
      <c r="GJT1" s="186"/>
      <c r="GJU1" s="186"/>
      <c r="GJV1" s="186"/>
      <c r="GJW1" s="186"/>
      <c r="GJX1" s="186"/>
      <c r="GJY1" s="186"/>
      <c r="GJZ1" s="186"/>
      <c r="GKA1" s="186"/>
      <c r="GKB1" s="186"/>
      <c r="GKC1" s="186"/>
      <c r="GKD1" s="186"/>
      <c r="GKE1" s="186"/>
      <c r="GKF1" s="186"/>
      <c r="GKG1" s="186"/>
      <c r="GKH1" s="186"/>
      <c r="GKI1" s="186"/>
      <c r="GKJ1" s="186"/>
      <c r="GKK1" s="186"/>
      <c r="GKL1" s="186"/>
      <c r="GKM1" s="186"/>
      <c r="GKN1" s="186"/>
      <c r="GKO1" s="186"/>
      <c r="GKP1" s="186"/>
      <c r="GKQ1" s="186"/>
      <c r="GKR1" s="186"/>
      <c r="GKS1" s="186"/>
      <c r="GKT1" s="186"/>
      <c r="GKU1" s="186"/>
      <c r="GKV1" s="186"/>
      <c r="GKW1" s="186"/>
      <c r="GKX1" s="186"/>
      <c r="GKY1" s="186"/>
      <c r="GKZ1" s="186"/>
      <c r="GLA1" s="186"/>
      <c r="GLB1" s="186"/>
      <c r="GLC1" s="186"/>
      <c r="GLD1" s="186"/>
      <c r="GLE1" s="186"/>
      <c r="GLF1" s="186"/>
      <c r="GLG1" s="186"/>
      <c r="GLH1" s="186"/>
      <c r="GLI1" s="186"/>
      <c r="GLJ1" s="186"/>
      <c r="GLK1" s="186"/>
      <c r="GLL1" s="186"/>
      <c r="GLM1" s="186"/>
      <c r="GLN1" s="186"/>
      <c r="GLO1" s="186"/>
      <c r="GLP1" s="186"/>
      <c r="GLQ1" s="186"/>
      <c r="GLR1" s="186"/>
      <c r="GLS1" s="186"/>
      <c r="GLT1" s="186"/>
      <c r="GLU1" s="186"/>
      <c r="GLV1" s="186"/>
      <c r="GLW1" s="186"/>
      <c r="GLX1" s="186"/>
      <c r="GLY1" s="186"/>
      <c r="GLZ1" s="186"/>
      <c r="GMA1" s="186"/>
      <c r="GMB1" s="186"/>
      <c r="GMC1" s="186"/>
      <c r="GMD1" s="186"/>
      <c r="GME1" s="186"/>
      <c r="GMF1" s="186"/>
      <c r="GMG1" s="186"/>
      <c r="GMH1" s="186"/>
      <c r="GMI1" s="186"/>
      <c r="GMJ1" s="186"/>
      <c r="GMK1" s="186"/>
      <c r="GML1" s="186"/>
      <c r="GMM1" s="186"/>
      <c r="GMN1" s="186"/>
      <c r="GMO1" s="186"/>
      <c r="GMP1" s="186"/>
      <c r="GMQ1" s="186"/>
      <c r="GMR1" s="186"/>
      <c r="GMS1" s="186"/>
      <c r="GMT1" s="186"/>
      <c r="GMU1" s="186"/>
      <c r="GMV1" s="186"/>
      <c r="GMW1" s="186"/>
      <c r="GMX1" s="186"/>
      <c r="GMY1" s="186"/>
      <c r="GMZ1" s="186"/>
      <c r="GNA1" s="186"/>
      <c r="GNB1" s="186"/>
      <c r="GNC1" s="186"/>
      <c r="GND1" s="186"/>
      <c r="GNE1" s="186"/>
      <c r="GNF1" s="186"/>
      <c r="GNG1" s="186"/>
      <c r="GNH1" s="186"/>
      <c r="GNI1" s="186"/>
      <c r="GNJ1" s="186"/>
      <c r="GNK1" s="186"/>
      <c r="GNL1" s="186"/>
      <c r="GNM1" s="186"/>
      <c r="GNN1" s="186"/>
      <c r="GNO1" s="186"/>
      <c r="GNP1" s="186"/>
      <c r="GNQ1" s="186"/>
      <c r="GNR1" s="186"/>
      <c r="GNS1" s="186"/>
      <c r="GNT1" s="186"/>
      <c r="GNU1" s="186"/>
      <c r="GNV1" s="186"/>
      <c r="GNW1" s="186"/>
      <c r="GNX1" s="186"/>
      <c r="GNY1" s="186"/>
      <c r="GNZ1" s="186"/>
      <c r="GOA1" s="186"/>
      <c r="GOB1" s="186"/>
      <c r="GOC1" s="186"/>
      <c r="GOD1" s="186"/>
      <c r="GOE1" s="186"/>
      <c r="GOF1" s="186"/>
      <c r="GOG1" s="186"/>
      <c r="GOH1" s="186"/>
      <c r="GOI1" s="186"/>
      <c r="GOJ1" s="186"/>
      <c r="GOK1" s="186"/>
      <c r="GOL1" s="186"/>
      <c r="GOM1" s="186"/>
      <c r="GON1" s="186"/>
      <c r="GOO1" s="186"/>
      <c r="GOP1" s="186"/>
      <c r="GOQ1" s="186"/>
      <c r="GOR1" s="186"/>
      <c r="GOS1" s="186"/>
      <c r="GOT1" s="186"/>
      <c r="GOU1" s="186"/>
      <c r="GOV1" s="186"/>
      <c r="GOW1" s="186"/>
      <c r="GOX1" s="186"/>
      <c r="GOY1" s="186"/>
      <c r="GOZ1" s="186"/>
      <c r="GPA1" s="186"/>
      <c r="GPB1" s="186"/>
      <c r="GPC1" s="186"/>
      <c r="GPD1" s="186"/>
      <c r="GPE1" s="186"/>
      <c r="GPF1" s="186"/>
      <c r="GPG1" s="186"/>
      <c r="GPH1" s="186"/>
      <c r="GPI1" s="186"/>
      <c r="GPJ1" s="186"/>
      <c r="GPK1" s="186"/>
      <c r="GPL1" s="186"/>
      <c r="GPM1" s="186"/>
      <c r="GPN1" s="186"/>
      <c r="GPO1" s="186"/>
      <c r="GPP1" s="186"/>
      <c r="GPQ1" s="186"/>
      <c r="GPR1" s="186"/>
      <c r="GPS1" s="186"/>
      <c r="GPT1" s="186"/>
      <c r="GPU1" s="186"/>
      <c r="GPV1" s="186"/>
      <c r="GPW1" s="186"/>
      <c r="GPX1" s="186"/>
      <c r="GPY1" s="186"/>
      <c r="GPZ1" s="186"/>
      <c r="GQA1" s="186"/>
      <c r="GQB1" s="186"/>
      <c r="GQC1" s="186"/>
      <c r="GQD1" s="186"/>
      <c r="GQE1" s="186"/>
      <c r="GQF1" s="186"/>
      <c r="GQG1" s="186"/>
      <c r="GQH1" s="186"/>
      <c r="GQI1" s="186"/>
      <c r="GQJ1" s="186"/>
      <c r="GQK1" s="186"/>
      <c r="GQL1" s="186"/>
      <c r="GQM1" s="186"/>
      <c r="GQN1" s="186"/>
      <c r="GQO1" s="186"/>
      <c r="GQP1" s="186"/>
      <c r="GQQ1" s="186"/>
      <c r="GQR1" s="186"/>
      <c r="GQS1" s="186"/>
      <c r="GQT1" s="186"/>
      <c r="GQU1" s="186"/>
      <c r="GQV1" s="186"/>
      <c r="GQW1" s="186"/>
      <c r="GQX1" s="186"/>
      <c r="GQY1" s="186"/>
      <c r="GQZ1" s="186"/>
      <c r="GRA1" s="186"/>
      <c r="GRB1" s="186"/>
      <c r="GRC1" s="186"/>
      <c r="GRD1" s="186"/>
      <c r="GRE1" s="186"/>
      <c r="GRF1" s="186"/>
      <c r="GRG1" s="186"/>
      <c r="GRH1" s="186"/>
      <c r="GRI1" s="186"/>
      <c r="GRJ1" s="186"/>
      <c r="GRK1" s="186"/>
      <c r="GRL1" s="186"/>
      <c r="GRM1" s="186"/>
      <c r="GRN1" s="186"/>
      <c r="GRO1" s="186"/>
      <c r="GRP1" s="186"/>
      <c r="GRQ1" s="186"/>
      <c r="GRR1" s="186"/>
      <c r="GRS1" s="186"/>
      <c r="GRT1" s="186"/>
      <c r="GRU1" s="186"/>
      <c r="GRV1" s="186"/>
      <c r="GRW1" s="186"/>
      <c r="GRX1" s="186"/>
      <c r="GRY1" s="186"/>
      <c r="GRZ1" s="186"/>
      <c r="GSA1" s="186"/>
      <c r="GSB1" s="186"/>
      <c r="GSC1" s="186"/>
      <c r="GSD1" s="186"/>
      <c r="GSE1" s="186"/>
      <c r="GSF1" s="186"/>
      <c r="GSG1" s="186"/>
      <c r="GSH1" s="186"/>
      <c r="GSI1" s="186"/>
      <c r="GSJ1" s="186"/>
      <c r="GSK1" s="186"/>
      <c r="GSL1" s="186"/>
      <c r="GSM1" s="186"/>
      <c r="GSN1" s="186"/>
      <c r="GSO1" s="186"/>
      <c r="GSP1" s="186"/>
      <c r="GSQ1" s="186"/>
      <c r="GSR1" s="186"/>
      <c r="GSS1" s="186"/>
      <c r="GST1" s="186"/>
      <c r="GSU1" s="186"/>
      <c r="GSV1" s="186"/>
      <c r="GSW1" s="186"/>
      <c r="GSX1" s="186"/>
      <c r="GSY1" s="186"/>
      <c r="GSZ1" s="186"/>
      <c r="GTA1" s="186"/>
      <c r="GTB1" s="186"/>
      <c r="GTC1" s="186"/>
      <c r="GTD1" s="186"/>
      <c r="GTE1" s="186"/>
      <c r="GTF1" s="186"/>
      <c r="GTG1" s="186"/>
      <c r="GTH1" s="186"/>
      <c r="GTI1" s="186"/>
      <c r="GTJ1" s="186"/>
      <c r="GTK1" s="186"/>
      <c r="GTL1" s="186"/>
      <c r="GTM1" s="186"/>
      <c r="GTN1" s="186"/>
      <c r="GTO1" s="186"/>
      <c r="GTP1" s="186"/>
      <c r="GTQ1" s="186"/>
      <c r="GTR1" s="186"/>
      <c r="GTS1" s="186"/>
      <c r="GTT1" s="186"/>
      <c r="GTU1" s="186"/>
      <c r="GTV1" s="186"/>
      <c r="GTW1" s="186"/>
      <c r="GTX1" s="186"/>
      <c r="GTY1" s="186"/>
      <c r="GTZ1" s="186"/>
      <c r="GUA1" s="186"/>
      <c r="GUB1" s="186"/>
      <c r="GUC1" s="186"/>
      <c r="GUD1" s="186"/>
      <c r="GUE1" s="186"/>
      <c r="GUF1" s="186"/>
      <c r="GUG1" s="186"/>
      <c r="GUH1" s="186"/>
      <c r="GUI1" s="186"/>
      <c r="GUJ1" s="186"/>
      <c r="GUK1" s="186"/>
      <c r="GUL1" s="186"/>
      <c r="GUM1" s="186"/>
      <c r="GUN1" s="186"/>
      <c r="GUO1" s="186"/>
      <c r="GUP1" s="186"/>
      <c r="GUQ1" s="186"/>
      <c r="GUR1" s="186"/>
      <c r="GUS1" s="186"/>
      <c r="GUT1" s="186"/>
      <c r="GUU1" s="186"/>
      <c r="GUV1" s="186"/>
      <c r="GUW1" s="186"/>
      <c r="GUX1" s="186"/>
      <c r="GUY1" s="186"/>
      <c r="GUZ1" s="186"/>
      <c r="GVA1" s="186"/>
      <c r="GVB1" s="186"/>
      <c r="GVC1" s="186"/>
      <c r="GVD1" s="186"/>
      <c r="GVE1" s="186"/>
      <c r="GVF1" s="186"/>
      <c r="GVG1" s="186"/>
      <c r="GVH1" s="186"/>
      <c r="GVI1" s="186"/>
      <c r="GVJ1" s="186"/>
      <c r="GVK1" s="186"/>
      <c r="GVL1" s="186"/>
      <c r="GVM1" s="186"/>
      <c r="GVN1" s="186"/>
      <c r="GVO1" s="186"/>
      <c r="GVP1" s="186"/>
      <c r="GVQ1" s="186"/>
      <c r="GVR1" s="186"/>
      <c r="GVS1" s="186"/>
      <c r="GVT1" s="186"/>
      <c r="GVU1" s="186"/>
      <c r="GVV1" s="186"/>
      <c r="GVW1" s="186"/>
      <c r="GVX1" s="186"/>
      <c r="GVY1" s="186"/>
      <c r="GVZ1" s="186"/>
      <c r="GWA1" s="186"/>
      <c r="GWB1" s="186"/>
      <c r="GWC1" s="186"/>
      <c r="GWD1" s="186"/>
      <c r="GWE1" s="186"/>
      <c r="GWF1" s="186"/>
      <c r="GWG1" s="186"/>
      <c r="GWH1" s="186"/>
      <c r="GWI1" s="186"/>
      <c r="GWJ1" s="186"/>
      <c r="GWK1" s="186"/>
      <c r="GWL1" s="186"/>
      <c r="GWM1" s="186"/>
      <c r="GWN1" s="186"/>
      <c r="GWO1" s="186"/>
      <c r="GWP1" s="186"/>
      <c r="GWQ1" s="186"/>
      <c r="GWR1" s="186"/>
      <c r="GWS1" s="186"/>
      <c r="GWT1" s="186"/>
      <c r="GWU1" s="186"/>
      <c r="GWV1" s="186"/>
      <c r="GWW1" s="186"/>
      <c r="GWX1" s="186"/>
      <c r="GWY1" s="186"/>
      <c r="GWZ1" s="186"/>
      <c r="GXA1" s="186"/>
      <c r="GXB1" s="186"/>
      <c r="GXC1" s="186"/>
      <c r="GXD1" s="186"/>
      <c r="GXE1" s="186"/>
      <c r="GXF1" s="186"/>
      <c r="GXG1" s="186"/>
      <c r="GXH1" s="186"/>
      <c r="GXI1" s="186"/>
      <c r="GXJ1" s="186"/>
      <c r="GXK1" s="186"/>
      <c r="GXL1" s="186"/>
      <c r="GXM1" s="186"/>
      <c r="GXN1" s="186"/>
      <c r="GXO1" s="186"/>
      <c r="GXP1" s="186"/>
      <c r="GXQ1" s="186"/>
      <c r="GXR1" s="186"/>
      <c r="GXS1" s="186"/>
      <c r="GXT1" s="186"/>
      <c r="GXU1" s="186"/>
      <c r="GXV1" s="186"/>
      <c r="GXW1" s="186"/>
      <c r="GXX1" s="186"/>
      <c r="GXY1" s="186"/>
      <c r="GXZ1" s="186"/>
      <c r="GYA1" s="186"/>
      <c r="GYB1" s="186"/>
      <c r="GYC1" s="186"/>
      <c r="GYD1" s="186"/>
      <c r="GYE1" s="186"/>
      <c r="GYF1" s="186"/>
      <c r="GYG1" s="186"/>
      <c r="GYH1" s="186"/>
      <c r="GYI1" s="186"/>
      <c r="GYJ1" s="186"/>
      <c r="GYK1" s="186"/>
      <c r="GYL1" s="186"/>
      <c r="GYM1" s="186"/>
      <c r="GYN1" s="186"/>
      <c r="GYO1" s="186"/>
      <c r="GYP1" s="186"/>
      <c r="GYQ1" s="186"/>
      <c r="GYR1" s="186"/>
      <c r="GYS1" s="186"/>
      <c r="GYT1" s="186"/>
      <c r="GYU1" s="186"/>
      <c r="GYV1" s="186"/>
      <c r="GYW1" s="186"/>
      <c r="GYX1" s="186"/>
      <c r="GYY1" s="186"/>
      <c r="GYZ1" s="186"/>
      <c r="GZA1" s="186"/>
      <c r="GZB1" s="186"/>
      <c r="GZC1" s="186"/>
      <c r="GZD1" s="186"/>
      <c r="GZE1" s="186"/>
      <c r="GZF1" s="186"/>
      <c r="GZG1" s="186"/>
      <c r="GZH1" s="186"/>
      <c r="GZI1" s="186"/>
      <c r="GZJ1" s="186"/>
      <c r="GZK1" s="186"/>
      <c r="GZL1" s="186"/>
      <c r="GZM1" s="186"/>
      <c r="GZN1" s="186"/>
      <c r="GZO1" s="186"/>
      <c r="GZP1" s="186"/>
      <c r="GZQ1" s="186"/>
      <c r="GZR1" s="186"/>
      <c r="GZS1" s="186"/>
      <c r="GZT1" s="186"/>
      <c r="GZU1" s="186"/>
      <c r="GZV1" s="186"/>
      <c r="GZW1" s="186"/>
      <c r="GZX1" s="186"/>
      <c r="GZY1" s="186"/>
      <c r="GZZ1" s="186"/>
      <c r="HAA1" s="186"/>
      <c r="HAB1" s="186"/>
      <c r="HAC1" s="186"/>
      <c r="HAD1" s="186"/>
      <c r="HAE1" s="186"/>
      <c r="HAF1" s="186"/>
      <c r="HAG1" s="186"/>
      <c r="HAH1" s="186"/>
      <c r="HAI1" s="186"/>
      <c r="HAJ1" s="186"/>
      <c r="HAK1" s="186"/>
      <c r="HAL1" s="186"/>
      <c r="HAM1" s="186"/>
      <c r="HAN1" s="186"/>
      <c r="HAO1" s="186"/>
      <c r="HAP1" s="186"/>
      <c r="HAQ1" s="186"/>
      <c r="HAR1" s="186"/>
      <c r="HAS1" s="186"/>
      <c r="HAT1" s="186"/>
      <c r="HAU1" s="186"/>
      <c r="HAV1" s="186"/>
      <c r="HAW1" s="186"/>
      <c r="HAX1" s="186"/>
      <c r="HAY1" s="186"/>
      <c r="HAZ1" s="186"/>
      <c r="HBA1" s="186"/>
      <c r="HBB1" s="186"/>
      <c r="HBC1" s="186"/>
      <c r="HBD1" s="186"/>
      <c r="HBE1" s="186"/>
      <c r="HBF1" s="186"/>
      <c r="HBG1" s="186"/>
      <c r="HBH1" s="186"/>
      <c r="HBI1" s="186"/>
      <c r="HBJ1" s="186"/>
      <c r="HBK1" s="186"/>
      <c r="HBL1" s="186"/>
      <c r="HBM1" s="186"/>
      <c r="HBN1" s="186"/>
      <c r="HBO1" s="186"/>
      <c r="HBP1" s="186"/>
      <c r="HBQ1" s="186"/>
      <c r="HBR1" s="186"/>
      <c r="HBS1" s="186"/>
      <c r="HBT1" s="186"/>
      <c r="HBU1" s="186"/>
      <c r="HBV1" s="186"/>
      <c r="HBW1" s="186"/>
      <c r="HBX1" s="186"/>
      <c r="HBY1" s="186"/>
      <c r="HBZ1" s="186"/>
      <c r="HCA1" s="186"/>
      <c r="HCB1" s="186"/>
      <c r="HCC1" s="186"/>
      <c r="HCD1" s="186"/>
      <c r="HCE1" s="186"/>
      <c r="HCF1" s="186"/>
      <c r="HCG1" s="186"/>
      <c r="HCH1" s="186"/>
      <c r="HCI1" s="186"/>
      <c r="HCJ1" s="186"/>
      <c r="HCK1" s="186"/>
      <c r="HCL1" s="186"/>
      <c r="HCM1" s="186"/>
      <c r="HCN1" s="186"/>
      <c r="HCO1" s="186"/>
      <c r="HCP1" s="186"/>
      <c r="HCQ1" s="186"/>
      <c r="HCR1" s="186"/>
      <c r="HCS1" s="186"/>
      <c r="HCT1" s="186"/>
      <c r="HCU1" s="186"/>
      <c r="HCV1" s="186"/>
      <c r="HCW1" s="186"/>
      <c r="HCX1" s="186"/>
      <c r="HCY1" s="186"/>
      <c r="HCZ1" s="186"/>
      <c r="HDA1" s="186"/>
      <c r="HDB1" s="186"/>
      <c r="HDC1" s="186"/>
      <c r="HDD1" s="186"/>
      <c r="HDE1" s="186"/>
      <c r="HDF1" s="186"/>
      <c r="HDG1" s="186"/>
      <c r="HDH1" s="186"/>
      <c r="HDI1" s="186"/>
      <c r="HDJ1" s="186"/>
      <c r="HDK1" s="186"/>
      <c r="HDL1" s="186"/>
      <c r="HDM1" s="186"/>
      <c r="HDN1" s="186"/>
      <c r="HDO1" s="186"/>
      <c r="HDP1" s="186"/>
      <c r="HDQ1" s="186"/>
      <c r="HDR1" s="186"/>
      <c r="HDS1" s="186"/>
      <c r="HDT1" s="186"/>
      <c r="HDU1" s="186"/>
      <c r="HDV1" s="186"/>
      <c r="HDW1" s="186"/>
      <c r="HDX1" s="186"/>
      <c r="HDY1" s="186"/>
      <c r="HDZ1" s="186"/>
      <c r="HEA1" s="186"/>
      <c r="HEB1" s="186"/>
      <c r="HEC1" s="186"/>
      <c r="HED1" s="186"/>
      <c r="HEE1" s="186"/>
      <c r="HEF1" s="186"/>
      <c r="HEG1" s="186"/>
      <c r="HEH1" s="186"/>
      <c r="HEI1" s="186"/>
      <c r="HEJ1" s="186"/>
      <c r="HEK1" s="186"/>
      <c r="HEL1" s="186"/>
      <c r="HEM1" s="186"/>
      <c r="HEN1" s="186"/>
      <c r="HEO1" s="186"/>
      <c r="HEP1" s="186"/>
      <c r="HEQ1" s="186"/>
      <c r="HER1" s="186"/>
      <c r="HES1" s="186"/>
      <c r="HET1" s="186"/>
      <c r="HEU1" s="186"/>
      <c r="HEV1" s="186"/>
      <c r="HEW1" s="186"/>
      <c r="HEX1" s="186"/>
      <c r="HEY1" s="186"/>
      <c r="HEZ1" s="186"/>
      <c r="HFA1" s="186"/>
      <c r="HFB1" s="186"/>
      <c r="HFC1" s="186"/>
      <c r="HFD1" s="186"/>
      <c r="HFE1" s="186"/>
      <c r="HFF1" s="186"/>
      <c r="HFG1" s="186"/>
      <c r="HFH1" s="186"/>
      <c r="HFI1" s="186"/>
      <c r="HFJ1" s="186"/>
      <c r="HFK1" s="186"/>
      <c r="HFL1" s="186"/>
      <c r="HFM1" s="186"/>
      <c r="HFN1" s="186"/>
      <c r="HFO1" s="186"/>
      <c r="HFP1" s="186"/>
      <c r="HFQ1" s="186"/>
      <c r="HFR1" s="186"/>
      <c r="HFS1" s="186"/>
      <c r="HFT1" s="186"/>
      <c r="HFU1" s="186"/>
      <c r="HFV1" s="186"/>
      <c r="HFW1" s="186"/>
      <c r="HFX1" s="186"/>
      <c r="HFY1" s="186"/>
      <c r="HFZ1" s="186"/>
      <c r="HGA1" s="186"/>
      <c r="HGB1" s="186"/>
      <c r="HGC1" s="186"/>
      <c r="HGD1" s="186"/>
      <c r="HGE1" s="186"/>
      <c r="HGF1" s="186"/>
      <c r="HGG1" s="186"/>
      <c r="HGH1" s="186"/>
      <c r="HGI1" s="186"/>
      <c r="HGJ1" s="186"/>
      <c r="HGK1" s="186"/>
      <c r="HGL1" s="186"/>
      <c r="HGM1" s="186"/>
      <c r="HGN1" s="186"/>
      <c r="HGO1" s="186"/>
      <c r="HGP1" s="186"/>
      <c r="HGQ1" s="186"/>
      <c r="HGR1" s="186"/>
      <c r="HGS1" s="186"/>
      <c r="HGT1" s="186"/>
      <c r="HGU1" s="186"/>
      <c r="HGV1" s="186"/>
      <c r="HGW1" s="186"/>
      <c r="HGX1" s="186"/>
      <c r="HGY1" s="186"/>
      <c r="HGZ1" s="186"/>
      <c r="HHA1" s="186"/>
      <c r="HHB1" s="186"/>
      <c r="HHC1" s="186"/>
      <c r="HHD1" s="186"/>
      <c r="HHE1" s="186"/>
      <c r="HHF1" s="186"/>
      <c r="HHG1" s="186"/>
      <c r="HHH1" s="186"/>
      <c r="HHI1" s="186"/>
      <c r="HHJ1" s="186"/>
      <c r="HHK1" s="186"/>
      <c r="HHL1" s="186"/>
      <c r="HHM1" s="186"/>
      <c r="HHN1" s="186"/>
      <c r="HHO1" s="186"/>
      <c r="HHP1" s="186"/>
      <c r="HHQ1" s="186"/>
      <c r="HHR1" s="186"/>
      <c r="HHS1" s="186"/>
      <c r="HHT1" s="186"/>
      <c r="HHU1" s="186"/>
      <c r="HHV1" s="186"/>
      <c r="HHW1" s="186"/>
      <c r="HHX1" s="186"/>
      <c r="HHY1" s="186"/>
      <c r="HHZ1" s="186"/>
      <c r="HIA1" s="186"/>
      <c r="HIB1" s="186"/>
      <c r="HIC1" s="186"/>
      <c r="HID1" s="186"/>
      <c r="HIE1" s="186"/>
      <c r="HIF1" s="186"/>
      <c r="HIG1" s="186"/>
      <c r="HIH1" s="186"/>
      <c r="HII1" s="186"/>
      <c r="HIJ1" s="186"/>
      <c r="HIK1" s="186"/>
      <c r="HIL1" s="186"/>
      <c r="HIM1" s="186"/>
      <c r="HIN1" s="186"/>
      <c r="HIO1" s="186"/>
      <c r="HIP1" s="186"/>
      <c r="HIQ1" s="186"/>
      <c r="HIR1" s="186"/>
      <c r="HIS1" s="186"/>
      <c r="HIT1" s="186"/>
      <c r="HIU1" s="186"/>
      <c r="HIV1" s="186"/>
      <c r="HIW1" s="186"/>
      <c r="HIX1" s="186"/>
      <c r="HIY1" s="186"/>
      <c r="HIZ1" s="186"/>
      <c r="HJA1" s="186"/>
      <c r="HJB1" s="186"/>
      <c r="HJC1" s="186"/>
      <c r="HJD1" s="186"/>
      <c r="HJE1" s="186"/>
      <c r="HJF1" s="186"/>
      <c r="HJG1" s="186"/>
      <c r="HJH1" s="186"/>
      <c r="HJI1" s="186"/>
      <c r="HJJ1" s="186"/>
      <c r="HJK1" s="186"/>
      <c r="HJL1" s="186"/>
      <c r="HJM1" s="186"/>
      <c r="HJN1" s="186"/>
      <c r="HJO1" s="186"/>
      <c r="HJP1" s="186"/>
      <c r="HJQ1" s="186"/>
      <c r="HJR1" s="186"/>
      <c r="HJS1" s="186"/>
      <c r="HJT1" s="186"/>
      <c r="HJU1" s="186"/>
      <c r="HJV1" s="186"/>
      <c r="HJW1" s="186"/>
      <c r="HJX1" s="186"/>
      <c r="HJY1" s="186"/>
      <c r="HJZ1" s="186"/>
      <c r="HKA1" s="186"/>
      <c r="HKB1" s="186"/>
      <c r="HKC1" s="186"/>
      <c r="HKD1" s="186"/>
      <c r="HKE1" s="186"/>
      <c r="HKF1" s="186"/>
      <c r="HKG1" s="186"/>
      <c r="HKH1" s="186"/>
      <c r="HKI1" s="186"/>
      <c r="HKJ1" s="186"/>
      <c r="HKK1" s="186"/>
      <c r="HKL1" s="186"/>
      <c r="HKM1" s="186"/>
      <c r="HKN1" s="186"/>
      <c r="HKO1" s="186"/>
      <c r="HKP1" s="186"/>
      <c r="HKQ1" s="186"/>
      <c r="HKR1" s="186"/>
      <c r="HKS1" s="186"/>
      <c r="HKT1" s="186"/>
      <c r="HKU1" s="186"/>
      <c r="HKV1" s="186"/>
      <c r="HKW1" s="186"/>
      <c r="HKX1" s="186"/>
      <c r="HKY1" s="186"/>
      <c r="HKZ1" s="186"/>
      <c r="HLA1" s="186"/>
      <c r="HLB1" s="186"/>
      <c r="HLC1" s="186"/>
      <c r="HLD1" s="186"/>
      <c r="HLE1" s="186"/>
      <c r="HLF1" s="186"/>
      <c r="HLG1" s="186"/>
      <c r="HLH1" s="186"/>
      <c r="HLI1" s="186"/>
      <c r="HLJ1" s="186"/>
      <c r="HLK1" s="186"/>
      <c r="HLL1" s="186"/>
      <c r="HLM1" s="186"/>
      <c r="HLN1" s="186"/>
      <c r="HLO1" s="186"/>
      <c r="HLP1" s="186"/>
      <c r="HLQ1" s="186"/>
      <c r="HLR1" s="186"/>
      <c r="HLS1" s="186"/>
      <c r="HLT1" s="186"/>
      <c r="HLU1" s="186"/>
      <c r="HLV1" s="186"/>
      <c r="HLW1" s="186"/>
      <c r="HLX1" s="186"/>
      <c r="HLY1" s="186"/>
      <c r="HLZ1" s="186"/>
      <c r="HMA1" s="186"/>
      <c r="HMB1" s="186"/>
      <c r="HMC1" s="186"/>
      <c r="HMD1" s="186"/>
      <c r="HME1" s="186"/>
      <c r="HMF1" s="186"/>
      <c r="HMG1" s="186"/>
      <c r="HMH1" s="186"/>
      <c r="HMI1" s="186"/>
      <c r="HMJ1" s="186"/>
      <c r="HMK1" s="186"/>
      <c r="HML1" s="186"/>
      <c r="HMM1" s="186"/>
      <c r="HMN1" s="186"/>
      <c r="HMO1" s="186"/>
      <c r="HMP1" s="186"/>
      <c r="HMQ1" s="186"/>
      <c r="HMR1" s="186"/>
      <c r="HMS1" s="186"/>
      <c r="HMT1" s="186"/>
      <c r="HMU1" s="186"/>
      <c r="HMV1" s="186"/>
      <c r="HMW1" s="186"/>
      <c r="HMX1" s="186"/>
      <c r="HMY1" s="186"/>
      <c r="HMZ1" s="186"/>
      <c r="HNA1" s="186"/>
      <c r="HNB1" s="186"/>
      <c r="HNC1" s="186"/>
      <c r="HND1" s="186"/>
      <c r="HNE1" s="186"/>
      <c r="HNF1" s="186"/>
      <c r="HNG1" s="186"/>
      <c r="HNH1" s="186"/>
      <c r="HNI1" s="186"/>
      <c r="HNJ1" s="186"/>
      <c r="HNK1" s="186"/>
      <c r="HNL1" s="186"/>
      <c r="HNM1" s="186"/>
      <c r="HNN1" s="186"/>
      <c r="HNO1" s="186"/>
      <c r="HNP1" s="186"/>
      <c r="HNQ1" s="186"/>
      <c r="HNR1" s="186"/>
      <c r="HNS1" s="186"/>
      <c r="HNT1" s="186"/>
      <c r="HNU1" s="186"/>
      <c r="HNV1" s="186"/>
      <c r="HNW1" s="186"/>
      <c r="HNX1" s="186"/>
      <c r="HNY1" s="186"/>
      <c r="HNZ1" s="186"/>
      <c r="HOA1" s="186"/>
      <c r="HOB1" s="186"/>
      <c r="HOC1" s="186"/>
      <c r="HOD1" s="186"/>
      <c r="HOE1" s="186"/>
      <c r="HOF1" s="186"/>
      <c r="HOG1" s="186"/>
      <c r="HOH1" s="186"/>
      <c r="HOI1" s="186"/>
      <c r="HOJ1" s="186"/>
      <c r="HOK1" s="186"/>
      <c r="HOL1" s="186"/>
      <c r="HOM1" s="186"/>
      <c r="HON1" s="186"/>
      <c r="HOO1" s="186"/>
      <c r="HOP1" s="186"/>
      <c r="HOQ1" s="186"/>
      <c r="HOR1" s="186"/>
      <c r="HOS1" s="186"/>
      <c r="HOT1" s="186"/>
      <c r="HOU1" s="186"/>
      <c r="HOV1" s="186"/>
      <c r="HOW1" s="186"/>
      <c r="HOX1" s="186"/>
      <c r="HOY1" s="186"/>
      <c r="HOZ1" s="186"/>
      <c r="HPA1" s="186"/>
      <c r="HPB1" s="186"/>
      <c r="HPC1" s="186"/>
      <c r="HPD1" s="186"/>
      <c r="HPE1" s="186"/>
      <c r="HPF1" s="186"/>
      <c r="HPG1" s="186"/>
      <c r="HPH1" s="186"/>
      <c r="HPI1" s="186"/>
      <c r="HPJ1" s="186"/>
      <c r="HPK1" s="186"/>
      <c r="HPL1" s="186"/>
      <c r="HPM1" s="186"/>
      <c r="HPN1" s="186"/>
      <c r="HPO1" s="186"/>
      <c r="HPP1" s="186"/>
      <c r="HPQ1" s="186"/>
      <c r="HPR1" s="186"/>
      <c r="HPS1" s="186"/>
      <c r="HPT1" s="186"/>
      <c r="HPU1" s="186"/>
      <c r="HPV1" s="186"/>
      <c r="HPW1" s="186"/>
      <c r="HPX1" s="186"/>
      <c r="HPY1" s="186"/>
      <c r="HPZ1" s="186"/>
      <c r="HQA1" s="186"/>
      <c r="HQB1" s="186"/>
      <c r="HQC1" s="186"/>
      <c r="HQD1" s="186"/>
      <c r="HQE1" s="186"/>
      <c r="HQF1" s="186"/>
      <c r="HQG1" s="186"/>
      <c r="HQH1" s="186"/>
      <c r="HQI1" s="186"/>
      <c r="HQJ1" s="186"/>
      <c r="HQK1" s="186"/>
      <c r="HQL1" s="186"/>
      <c r="HQM1" s="186"/>
      <c r="HQN1" s="186"/>
      <c r="HQO1" s="186"/>
      <c r="HQP1" s="186"/>
      <c r="HQQ1" s="186"/>
      <c r="HQR1" s="186"/>
      <c r="HQS1" s="186"/>
      <c r="HQT1" s="186"/>
      <c r="HQU1" s="186"/>
      <c r="HQV1" s="186"/>
      <c r="HQW1" s="186"/>
      <c r="HQX1" s="186"/>
      <c r="HQY1" s="186"/>
      <c r="HQZ1" s="186"/>
      <c r="HRA1" s="186"/>
      <c r="HRB1" s="186"/>
      <c r="HRC1" s="186"/>
      <c r="HRD1" s="186"/>
      <c r="HRE1" s="186"/>
      <c r="HRF1" s="186"/>
      <c r="HRG1" s="186"/>
      <c r="HRH1" s="186"/>
      <c r="HRI1" s="186"/>
      <c r="HRJ1" s="186"/>
      <c r="HRK1" s="186"/>
      <c r="HRL1" s="186"/>
      <c r="HRM1" s="186"/>
      <c r="HRN1" s="186"/>
      <c r="HRO1" s="186"/>
      <c r="HRP1" s="186"/>
      <c r="HRQ1" s="186"/>
      <c r="HRR1" s="186"/>
      <c r="HRS1" s="186"/>
      <c r="HRT1" s="186"/>
      <c r="HRU1" s="186"/>
      <c r="HRV1" s="186"/>
      <c r="HRW1" s="186"/>
      <c r="HRX1" s="186"/>
      <c r="HRY1" s="186"/>
      <c r="HRZ1" s="186"/>
      <c r="HSA1" s="186"/>
      <c r="HSB1" s="186"/>
      <c r="HSC1" s="186"/>
      <c r="HSD1" s="186"/>
      <c r="HSE1" s="186"/>
      <c r="HSF1" s="186"/>
      <c r="HSG1" s="186"/>
      <c r="HSH1" s="186"/>
      <c r="HSI1" s="186"/>
      <c r="HSJ1" s="186"/>
      <c r="HSK1" s="186"/>
      <c r="HSL1" s="186"/>
      <c r="HSM1" s="186"/>
      <c r="HSN1" s="186"/>
      <c r="HSO1" s="186"/>
      <c r="HSP1" s="186"/>
      <c r="HSQ1" s="186"/>
      <c r="HSR1" s="186"/>
      <c r="HSS1" s="186"/>
      <c r="HST1" s="186"/>
      <c r="HSU1" s="186"/>
      <c r="HSV1" s="186"/>
      <c r="HSW1" s="186"/>
      <c r="HSX1" s="186"/>
      <c r="HSY1" s="186"/>
      <c r="HSZ1" s="186"/>
      <c r="HTA1" s="186"/>
      <c r="HTB1" s="186"/>
      <c r="HTC1" s="186"/>
      <c r="HTD1" s="186"/>
      <c r="HTE1" s="186"/>
      <c r="HTF1" s="186"/>
      <c r="HTG1" s="186"/>
      <c r="HTH1" s="186"/>
      <c r="HTI1" s="186"/>
      <c r="HTJ1" s="186"/>
      <c r="HTK1" s="186"/>
      <c r="HTL1" s="186"/>
      <c r="HTM1" s="186"/>
      <c r="HTN1" s="186"/>
      <c r="HTO1" s="186"/>
      <c r="HTP1" s="186"/>
      <c r="HTQ1" s="186"/>
      <c r="HTR1" s="186"/>
      <c r="HTS1" s="186"/>
      <c r="HTT1" s="186"/>
      <c r="HTU1" s="186"/>
      <c r="HTV1" s="186"/>
      <c r="HTW1" s="186"/>
      <c r="HTX1" s="186"/>
      <c r="HTY1" s="186"/>
      <c r="HTZ1" s="186"/>
      <c r="HUA1" s="186"/>
      <c r="HUB1" s="186"/>
      <c r="HUC1" s="186"/>
      <c r="HUD1" s="186"/>
      <c r="HUE1" s="186"/>
      <c r="HUF1" s="186"/>
      <c r="HUG1" s="186"/>
      <c r="HUH1" s="186"/>
      <c r="HUI1" s="186"/>
      <c r="HUJ1" s="186"/>
      <c r="HUK1" s="186"/>
      <c r="HUL1" s="186"/>
      <c r="HUM1" s="186"/>
      <c r="HUN1" s="186"/>
      <c r="HUO1" s="186"/>
      <c r="HUP1" s="186"/>
      <c r="HUQ1" s="186"/>
      <c r="HUR1" s="186"/>
      <c r="HUS1" s="186"/>
      <c r="HUT1" s="186"/>
      <c r="HUU1" s="186"/>
      <c r="HUV1" s="186"/>
      <c r="HUW1" s="186"/>
      <c r="HUX1" s="186"/>
      <c r="HUY1" s="186"/>
      <c r="HUZ1" s="186"/>
      <c r="HVA1" s="186"/>
      <c r="HVB1" s="186"/>
      <c r="HVC1" s="186"/>
      <c r="HVD1" s="186"/>
      <c r="HVE1" s="186"/>
      <c r="HVF1" s="186"/>
      <c r="HVG1" s="186"/>
      <c r="HVH1" s="186"/>
      <c r="HVI1" s="186"/>
      <c r="HVJ1" s="186"/>
      <c r="HVK1" s="186"/>
      <c r="HVL1" s="186"/>
      <c r="HVM1" s="186"/>
      <c r="HVN1" s="186"/>
      <c r="HVO1" s="186"/>
      <c r="HVP1" s="186"/>
      <c r="HVQ1" s="186"/>
      <c r="HVR1" s="186"/>
      <c r="HVS1" s="186"/>
      <c r="HVT1" s="186"/>
      <c r="HVU1" s="186"/>
      <c r="HVV1" s="186"/>
      <c r="HVW1" s="186"/>
      <c r="HVX1" s="186"/>
      <c r="HVY1" s="186"/>
      <c r="HVZ1" s="186"/>
      <c r="HWA1" s="186"/>
      <c r="HWB1" s="186"/>
      <c r="HWC1" s="186"/>
      <c r="HWD1" s="186"/>
      <c r="HWE1" s="186"/>
      <c r="HWF1" s="186"/>
      <c r="HWG1" s="186"/>
      <c r="HWH1" s="186"/>
      <c r="HWI1" s="186"/>
      <c r="HWJ1" s="186"/>
      <c r="HWK1" s="186"/>
      <c r="HWL1" s="186"/>
      <c r="HWM1" s="186"/>
      <c r="HWN1" s="186"/>
      <c r="HWO1" s="186"/>
      <c r="HWP1" s="186"/>
      <c r="HWQ1" s="186"/>
      <c r="HWR1" s="186"/>
      <c r="HWS1" s="186"/>
      <c r="HWT1" s="186"/>
      <c r="HWU1" s="186"/>
      <c r="HWV1" s="186"/>
      <c r="HWW1" s="186"/>
      <c r="HWX1" s="186"/>
      <c r="HWY1" s="186"/>
      <c r="HWZ1" s="186"/>
      <c r="HXA1" s="186"/>
      <c r="HXB1" s="186"/>
      <c r="HXC1" s="186"/>
      <c r="HXD1" s="186"/>
      <c r="HXE1" s="186"/>
      <c r="HXF1" s="186"/>
      <c r="HXG1" s="186"/>
      <c r="HXH1" s="186"/>
      <c r="HXI1" s="186"/>
      <c r="HXJ1" s="186"/>
      <c r="HXK1" s="186"/>
      <c r="HXL1" s="186"/>
      <c r="HXM1" s="186"/>
      <c r="HXN1" s="186"/>
      <c r="HXO1" s="186"/>
      <c r="HXP1" s="186"/>
      <c r="HXQ1" s="186"/>
      <c r="HXR1" s="186"/>
      <c r="HXS1" s="186"/>
      <c r="HXT1" s="186"/>
      <c r="HXU1" s="186"/>
      <c r="HXV1" s="186"/>
      <c r="HXW1" s="186"/>
      <c r="HXX1" s="186"/>
      <c r="HXY1" s="186"/>
      <c r="HXZ1" s="186"/>
      <c r="HYA1" s="186"/>
      <c r="HYB1" s="186"/>
      <c r="HYC1" s="186"/>
      <c r="HYD1" s="186"/>
      <c r="HYE1" s="186"/>
      <c r="HYF1" s="186"/>
      <c r="HYG1" s="186"/>
      <c r="HYH1" s="186"/>
      <c r="HYI1" s="186"/>
      <c r="HYJ1" s="186"/>
      <c r="HYK1" s="186"/>
      <c r="HYL1" s="186"/>
      <c r="HYM1" s="186"/>
      <c r="HYN1" s="186"/>
      <c r="HYO1" s="186"/>
      <c r="HYP1" s="186"/>
      <c r="HYQ1" s="186"/>
      <c r="HYR1" s="186"/>
      <c r="HYS1" s="186"/>
      <c r="HYT1" s="186"/>
      <c r="HYU1" s="186"/>
      <c r="HYV1" s="186"/>
      <c r="HYW1" s="186"/>
      <c r="HYX1" s="186"/>
      <c r="HYY1" s="186"/>
      <c r="HYZ1" s="186"/>
      <c r="HZA1" s="186"/>
      <c r="HZB1" s="186"/>
      <c r="HZC1" s="186"/>
      <c r="HZD1" s="186"/>
      <c r="HZE1" s="186"/>
      <c r="HZF1" s="186"/>
      <c r="HZG1" s="186"/>
      <c r="HZH1" s="186"/>
      <c r="HZI1" s="186"/>
      <c r="HZJ1" s="186"/>
      <c r="HZK1" s="186"/>
      <c r="HZL1" s="186"/>
      <c r="HZM1" s="186"/>
      <c r="HZN1" s="186"/>
      <c r="HZO1" s="186"/>
      <c r="HZP1" s="186"/>
      <c r="HZQ1" s="186"/>
      <c r="HZR1" s="186"/>
      <c r="HZS1" s="186"/>
      <c r="HZT1" s="186"/>
      <c r="HZU1" s="186"/>
      <c r="HZV1" s="186"/>
      <c r="HZW1" s="186"/>
      <c r="HZX1" s="186"/>
      <c r="HZY1" s="186"/>
      <c r="HZZ1" s="186"/>
      <c r="IAA1" s="186"/>
      <c r="IAB1" s="186"/>
      <c r="IAC1" s="186"/>
      <c r="IAD1" s="186"/>
      <c r="IAE1" s="186"/>
      <c r="IAF1" s="186"/>
      <c r="IAG1" s="186"/>
      <c r="IAH1" s="186"/>
      <c r="IAI1" s="186"/>
      <c r="IAJ1" s="186"/>
      <c r="IAK1" s="186"/>
      <c r="IAL1" s="186"/>
      <c r="IAM1" s="186"/>
      <c r="IAN1" s="186"/>
      <c r="IAO1" s="186"/>
      <c r="IAP1" s="186"/>
      <c r="IAQ1" s="186"/>
      <c r="IAR1" s="186"/>
      <c r="IAS1" s="186"/>
      <c r="IAT1" s="186"/>
      <c r="IAU1" s="186"/>
      <c r="IAV1" s="186"/>
      <c r="IAW1" s="186"/>
      <c r="IAX1" s="186"/>
      <c r="IAY1" s="186"/>
      <c r="IAZ1" s="186"/>
      <c r="IBA1" s="186"/>
      <c r="IBB1" s="186"/>
      <c r="IBC1" s="186"/>
      <c r="IBD1" s="186"/>
      <c r="IBE1" s="186"/>
      <c r="IBF1" s="186"/>
      <c r="IBG1" s="186"/>
      <c r="IBH1" s="186"/>
      <c r="IBI1" s="186"/>
      <c r="IBJ1" s="186"/>
      <c r="IBK1" s="186"/>
      <c r="IBL1" s="186"/>
      <c r="IBM1" s="186"/>
      <c r="IBN1" s="186"/>
      <c r="IBO1" s="186"/>
      <c r="IBP1" s="186"/>
      <c r="IBQ1" s="186"/>
      <c r="IBR1" s="186"/>
      <c r="IBS1" s="186"/>
      <c r="IBT1" s="186"/>
      <c r="IBU1" s="186"/>
      <c r="IBV1" s="186"/>
      <c r="IBW1" s="186"/>
      <c r="IBX1" s="186"/>
      <c r="IBY1" s="186"/>
      <c r="IBZ1" s="186"/>
      <c r="ICA1" s="186"/>
      <c r="ICB1" s="186"/>
      <c r="ICC1" s="186"/>
      <c r="ICD1" s="186"/>
      <c r="ICE1" s="186"/>
      <c r="ICF1" s="186"/>
      <c r="ICG1" s="186"/>
      <c r="ICH1" s="186"/>
      <c r="ICI1" s="186"/>
      <c r="ICJ1" s="186"/>
      <c r="ICK1" s="186"/>
      <c r="ICL1" s="186"/>
      <c r="ICM1" s="186"/>
      <c r="ICN1" s="186"/>
      <c r="ICO1" s="186"/>
      <c r="ICP1" s="186"/>
      <c r="ICQ1" s="186"/>
      <c r="ICR1" s="186"/>
      <c r="ICS1" s="186"/>
      <c r="ICT1" s="186"/>
      <c r="ICU1" s="186"/>
      <c r="ICV1" s="186"/>
      <c r="ICW1" s="186"/>
      <c r="ICX1" s="186"/>
      <c r="ICY1" s="186"/>
      <c r="ICZ1" s="186"/>
      <c r="IDA1" s="186"/>
      <c r="IDB1" s="186"/>
      <c r="IDC1" s="186"/>
      <c r="IDD1" s="186"/>
      <c r="IDE1" s="186"/>
      <c r="IDF1" s="186"/>
      <c r="IDG1" s="186"/>
      <c r="IDH1" s="186"/>
      <c r="IDI1" s="186"/>
      <c r="IDJ1" s="186"/>
      <c r="IDK1" s="186"/>
      <c r="IDL1" s="186"/>
      <c r="IDM1" s="186"/>
      <c r="IDN1" s="186"/>
      <c r="IDO1" s="186"/>
      <c r="IDP1" s="186"/>
      <c r="IDQ1" s="186"/>
      <c r="IDR1" s="186"/>
      <c r="IDS1" s="186"/>
      <c r="IDT1" s="186"/>
      <c r="IDU1" s="186"/>
      <c r="IDV1" s="186"/>
      <c r="IDW1" s="186"/>
      <c r="IDX1" s="186"/>
      <c r="IDY1" s="186"/>
      <c r="IDZ1" s="186"/>
      <c r="IEA1" s="186"/>
      <c r="IEB1" s="186"/>
      <c r="IEC1" s="186"/>
      <c r="IED1" s="186"/>
      <c r="IEE1" s="186"/>
      <c r="IEF1" s="186"/>
      <c r="IEG1" s="186"/>
      <c r="IEH1" s="186"/>
      <c r="IEI1" s="186"/>
      <c r="IEJ1" s="186"/>
      <c r="IEK1" s="186"/>
      <c r="IEL1" s="186"/>
      <c r="IEM1" s="186"/>
      <c r="IEN1" s="186"/>
      <c r="IEO1" s="186"/>
      <c r="IEP1" s="186"/>
      <c r="IEQ1" s="186"/>
      <c r="IER1" s="186"/>
      <c r="IES1" s="186"/>
      <c r="IET1" s="186"/>
      <c r="IEU1" s="186"/>
      <c r="IEV1" s="186"/>
      <c r="IEW1" s="186"/>
      <c r="IEX1" s="186"/>
      <c r="IEY1" s="186"/>
      <c r="IEZ1" s="186"/>
      <c r="IFA1" s="186"/>
      <c r="IFB1" s="186"/>
      <c r="IFC1" s="186"/>
      <c r="IFD1" s="186"/>
      <c r="IFE1" s="186"/>
      <c r="IFF1" s="186"/>
      <c r="IFG1" s="186"/>
      <c r="IFH1" s="186"/>
      <c r="IFI1" s="186"/>
      <c r="IFJ1" s="186"/>
      <c r="IFK1" s="186"/>
      <c r="IFL1" s="186"/>
      <c r="IFM1" s="186"/>
      <c r="IFN1" s="186"/>
      <c r="IFO1" s="186"/>
      <c r="IFP1" s="186"/>
      <c r="IFQ1" s="186"/>
      <c r="IFR1" s="186"/>
      <c r="IFS1" s="186"/>
      <c r="IFT1" s="186"/>
      <c r="IFU1" s="186"/>
      <c r="IFV1" s="186"/>
      <c r="IFW1" s="186"/>
      <c r="IFX1" s="186"/>
      <c r="IFY1" s="186"/>
      <c r="IFZ1" s="186"/>
      <c r="IGA1" s="186"/>
      <c r="IGB1" s="186"/>
      <c r="IGC1" s="186"/>
      <c r="IGD1" s="186"/>
      <c r="IGE1" s="186"/>
      <c r="IGF1" s="186"/>
      <c r="IGG1" s="186"/>
      <c r="IGH1" s="186"/>
      <c r="IGI1" s="186"/>
      <c r="IGJ1" s="186"/>
      <c r="IGK1" s="186"/>
      <c r="IGL1" s="186"/>
      <c r="IGM1" s="186"/>
      <c r="IGN1" s="186"/>
      <c r="IGO1" s="186"/>
      <c r="IGP1" s="186"/>
      <c r="IGQ1" s="186"/>
      <c r="IGR1" s="186"/>
      <c r="IGS1" s="186"/>
      <c r="IGT1" s="186"/>
      <c r="IGU1" s="186"/>
      <c r="IGV1" s="186"/>
      <c r="IGW1" s="186"/>
      <c r="IGX1" s="186"/>
      <c r="IGY1" s="186"/>
      <c r="IGZ1" s="186"/>
      <c r="IHA1" s="186"/>
      <c r="IHB1" s="186"/>
      <c r="IHC1" s="186"/>
      <c r="IHD1" s="186"/>
      <c r="IHE1" s="186"/>
      <c r="IHF1" s="186"/>
      <c r="IHG1" s="186"/>
      <c r="IHH1" s="186"/>
      <c r="IHI1" s="186"/>
      <c r="IHJ1" s="186"/>
      <c r="IHK1" s="186"/>
      <c r="IHL1" s="186"/>
      <c r="IHM1" s="186"/>
      <c r="IHN1" s="186"/>
      <c r="IHO1" s="186"/>
      <c r="IHP1" s="186"/>
      <c r="IHQ1" s="186"/>
      <c r="IHR1" s="186"/>
      <c r="IHS1" s="186"/>
      <c r="IHT1" s="186"/>
      <c r="IHU1" s="186"/>
      <c r="IHV1" s="186"/>
      <c r="IHW1" s="186"/>
      <c r="IHX1" s="186"/>
      <c r="IHY1" s="186"/>
      <c r="IHZ1" s="186"/>
      <c r="IIA1" s="186"/>
      <c r="IIB1" s="186"/>
      <c r="IIC1" s="186"/>
      <c r="IID1" s="186"/>
      <c r="IIE1" s="186"/>
      <c r="IIF1" s="186"/>
      <c r="IIG1" s="186"/>
      <c r="IIH1" s="186"/>
      <c r="III1" s="186"/>
      <c r="IIJ1" s="186"/>
      <c r="IIK1" s="186"/>
      <c r="IIL1" s="186"/>
      <c r="IIM1" s="186"/>
      <c r="IIN1" s="186"/>
      <c r="IIO1" s="186"/>
      <c r="IIP1" s="186"/>
      <c r="IIQ1" s="186"/>
      <c r="IIR1" s="186"/>
      <c r="IIS1" s="186"/>
      <c r="IIT1" s="186"/>
      <c r="IIU1" s="186"/>
      <c r="IIV1" s="186"/>
      <c r="IIW1" s="186"/>
      <c r="IIX1" s="186"/>
      <c r="IIY1" s="186"/>
      <c r="IIZ1" s="186"/>
      <c r="IJA1" s="186"/>
      <c r="IJB1" s="186"/>
      <c r="IJC1" s="186"/>
      <c r="IJD1" s="186"/>
      <c r="IJE1" s="186"/>
      <c r="IJF1" s="186"/>
      <c r="IJG1" s="186"/>
      <c r="IJH1" s="186"/>
      <c r="IJI1" s="186"/>
      <c r="IJJ1" s="186"/>
      <c r="IJK1" s="186"/>
      <c r="IJL1" s="186"/>
      <c r="IJM1" s="186"/>
      <c r="IJN1" s="186"/>
      <c r="IJO1" s="186"/>
      <c r="IJP1" s="186"/>
      <c r="IJQ1" s="186"/>
      <c r="IJR1" s="186"/>
      <c r="IJS1" s="186"/>
      <c r="IJT1" s="186"/>
      <c r="IJU1" s="186"/>
      <c r="IJV1" s="186"/>
      <c r="IJW1" s="186"/>
      <c r="IJX1" s="186"/>
      <c r="IJY1" s="186"/>
      <c r="IJZ1" s="186"/>
      <c r="IKA1" s="186"/>
      <c r="IKB1" s="186"/>
      <c r="IKC1" s="186"/>
      <c r="IKD1" s="186"/>
      <c r="IKE1" s="186"/>
      <c r="IKF1" s="186"/>
      <c r="IKG1" s="186"/>
      <c r="IKH1" s="186"/>
      <c r="IKI1" s="186"/>
      <c r="IKJ1" s="186"/>
      <c r="IKK1" s="186"/>
      <c r="IKL1" s="186"/>
      <c r="IKM1" s="186"/>
      <c r="IKN1" s="186"/>
      <c r="IKO1" s="186"/>
      <c r="IKP1" s="186"/>
      <c r="IKQ1" s="186"/>
      <c r="IKR1" s="186"/>
      <c r="IKS1" s="186"/>
      <c r="IKT1" s="186"/>
      <c r="IKU1" s="186"/>
      <c r="IKV1" s="186"/>
      <c r="IKW1" s="186"/>
      <c r="IKX1" s="186"/>
      <c r="IKY1" s="186"/>
      <c r="IKZ1" s="186"/>
      <c r="ILA1" s="186"/>
      <c r="ILB1" s="186"/>
      <c r="ILC1" s="186"/>
      <c r="ILD1" s="186"/>
      <c r="ILE1" s="186"/>
      <c r="ILF1" s="186"/>
      <c r="ILG1" s="186"/>
      <c r="ILH1" s="186"/>
      <c r="ILI1" s="186"/>
      <c r="ILJ1" s="186"/>
      <c r="ILK1" s="186"/>
      <c r="ILL1" s="186"/>
      <c r="ILM1" s="186"/>
      <c r="ILN1" s="186"/>
      <c r="ILO1" s="186"/>
      <c r="ILP1" s="186"/>
      <c r="ILQ1" s="186"/>
      <c r="ILR1" s="186"/>
      <c r="ILS1" s="186"/>
      <c r="ILT1" s="186"/>
      <c r="ILU1" s="186"/>
      <c r="ILV1" s="186"/>
      <c r="ILW1" s="186"/>
      <c r="ILX1" s="186"/>
      <c r="ILY1" s="186"/>
      <c r="ILZ1" s="186"/>
      <c r="IMA1" s="186"/>
      <c r="IMB1" s="186"/>
      <c r="IMC1" s="186"/>
      <c r="IMD1" s="186"/>
      <c r="IME1" s="186"/>
      <c r="IMF1" s="186"/>
      <c r="IMG1" s="186"/>
      <c r="IMH1" s="186"/>
      <c r="IMI1" s="186"/>
      <c r="IMJ1" s="186"/>
      <c r="IMK1" s="186"/>
      <c r="IML1" s="186"/>
      <c r="IMM1" s="186"/>
      <c r="IMN1" s="186"/>
      <c r="IMO1" s="186"/>
      <c r="IMP1" s="186"/>
      <c r="IMQ1" s="186"/>
      <c r="IMR1" s="186"/>
      <c r="IMS1" s="186"/>
      <c r="IMT1" s="186"/>
      <c r="IMU1" s="186"/>
      <c r="IMV1" s="186"/>
      <c r="IMW1" s="186"/>
      <c r="IMX1" s="186"/>
      <c r="IMY1" s="186"/>
      <c r="IMZ1" s="186"/>
      <c r="INA1" s="186"/>
      <c r="INB1" s="186"/>
      <c r="INC1" s="186"/>
      <c r="IND1" s="186"/>
      <c r="INE1" s="186"/>
      <c r="INF1" s="186"/>
      <c r="ING1" s="186"/>
      <c r="INH1" s="186"/>
      <c r="INI1" s="186"/>
      <c r="INJ1" s="186"/>
      <c r="INK1" s="186"/>
      <c r="INL1" s="186"/>
      <c r="INM1" s="186"/>
      <c r="INN1" s="186"/>
      <c r="INO1" s="186"/>
      <c r="INP1" s="186"/>
      <c r="INQ1" s="186"/>
      <c r="INR1" s="186"/>
      <c r="INS1" s="186"/>
      <c r="INT1" s="186"/>
      <c r="INU1" s="186"/>
      <c r="INV1" s="186"/>
      <c r="INW1" s="186"/>
      <c r="INX1" s="186"/>
      <c r="INY1" s="186"/>
      <c r="INZ1" s="186"/>
      <c r="IOA1" s="186"/>
      <c r="IOB1" s="186"/>
      <c r="IOC1" s="186"/>
      <c r="IOD1" s="186"/>
      <c r="IOE1" s="186"/>
      <c r="IOF1" s="186"/>
      <c r="IOG1" s="186"/>
      <c r="IOH1" s="186"/>
      <c r="IOI1" s="186"/>
      <c r="IOJ1" s="186"/>
      <c r="IOK1" s="186"/>
      <c r="IOL1" s="186"/>
      <c r="IOM1" s="186"/>
      <c r="ION1" s="186"/>
      <c r="IOO1" s="186"/>
      <c r="IOP1" s="186"/>
      <c r="IOQ1" s="186"/>
      <c r="IOR1" s="186"/>
      <c r="IOS1" s="186"/>
      <c r="IOT1" s="186"/>
      <c r="IOU1" s="186"/>
      <c r="IOV1" s="186"/>
      <c r="IOW1" s="186"/>
      <c r="IOX1" s="186"/>
      <c r="IOY1" s="186"/>
      <c r="IOZ1" s="186"/>
      <c r="IPA1" s="186"/>
      <c r="IPB1" s="186"/>
      <c r="IPC1" s="186"/>
      <c r="IPD1" s="186"/>
      <c r="IPE1" s="186"/>
      <c r="IPF1" s="186"/>
      <c r="IPG1" s="186"/>
      <c r="IPH1" s="186"/>
      <c r="IPI1" s="186"/>
      <c r="IPJ1" s="186"/>
      <c r="IPK1" s="186"/>
      <c r="IPL1" s="186"/>
      <c r="IPM1" s="186"/>
      <c r="IPN1" s="186"/>
      <c r="IPO1" s="186"/>
      <c r="IPP1" s="186"/>
      <c r="IPQ1" s="186"/>
      <c r="IPR1" s="186"/>
      <c r="IPS1" s="186"/>
      <c r="IPT1" s="186"/>
      <c r="IPU1" s="186"/>
      <c r="IPV1" s="186"/>
      <c r="IPW1" s="186"/>
      <c r="IPX1" s="186"/>
      <c r="IPY1" s="186"/>
      <c r="IPZ1" s="186"/>
      <c r="IQA1" s="186"/>
      <c r="IQB1" s="186"/>
      <c r="IQC1" s="186"/>
      <c r="IQD1" s="186"/>
      <c r="IQE1" s="186"/>
      <c r="IQF1" s="186"/>
      <c r="IQG1" s="186"/>
      <c r="IQH1" s="186"/>
      <c r="IQI1" s="186"/>
      <c r="IQJ1" s="186"/>
      <c r="IQK1" s="186"/>
      <c r="IQL1" s="186"/>
      <c r="IQM1" s="186"/>
      <c r="IQN1" s="186"/>
      <c r="IQO1" s="186"/>
      <c r="IQP1" s="186"/>
      <c r="IQQ1" s="186"/>
      <c r="IQR1" s="186"/>
      <c r="IQS1" s="186"/>
      <c r="IQT1" s="186"/>
      <c r="IQU1" s="186"/>
      <c r="IQV1" s="186"/>
      <c r="IQW1" s="186"/>
      <c r="IQX1" s="186"/>
      <c r="IQY1" s="186"/>
      <c r="IQZ1" s="186"/>
      <c r="IRA1" s="186"/>
      <c r="IRB1" s="186"/>
      <c r="IRC1" s="186"/>
      <c r="IRD1" s="186"/>
      <c r="IRE1" s="186"/>
      <c r="IRF1" s="186"/>
      <c r="IRG1" s="186"/>
      <c r="IRH1" s="186"/>
      <c r="IRI1" s="186"/>
      <c r="IRJ1" s="186"/>
      <c r="IRK1" s="186"/>
      <c r="IRL1" s="186"/>
      <c r="IRM1" s="186"/>
      <c r="IRN1" s="186"/>
      <c r="IRO1" s="186"/>
      <c r="IRP1" s="186"/>
      <c r="IRQ1" s="186"/>
      <c r="IRR1" s="186"/>
      <c r="IRS1" s="186"/>
      <c r="IRT1" s="186"/>
      <c r="IRU1" s="186"/>
      <c r="IRV1" s="186"/>
      <c r="IRW1" s="186"/>
      <c r="IRX1" s="186"/>
      <c r="IRY1" s="186"/>
      <c r="IRZ1" s="186"/>
      <c r="ISA1" s="186"/>
      <c r="ISB1" s="186"/>
      <c r="ISC1" s="186"/>
      <c r="ISD1" s="186"/>
      <c r="ISE1" s="186"/>
      <c r="ISF1" s="186"/>
      <c r="ISG1" s="186"/>
      <c r="ISH1" s="186"/>
      <c r="ISI1" s="186"/>
      <c r="ISJ1" s="186"/>
      <c r="ISK1" s="186"/>
      <c r="ISL1" s="186"/>
      <c r="ISM1" s="186"/>
      <c r="ISN1" s="186"/>
      <c r="ISO1" s="186"/>
      <c r="ISP1" s="186"/>
      <c r="ISQ1" s="186"/>
      <c r="ISR1" s="186"/>
      <c r="ISS1" s="186"/>
      <c r="IST1" s="186"/>
      <c r="ISU1" s="186"/>
      <c r="ISV1" s="186"/>
      <c r="ISW1" s="186"/>
      <c r="ISX1" s="186"/>
      <c r="ISY1" s="186"/>
      <c r="ISZ1" s="186"/>
      <c r="ITA1" s="186"/>
      <c r="ITB1" s="186"/>
      <c r="ITC1" s="186"/>
      <c r="ITD1" s="186"/>
      <c r="ITE1" s="186"/>
      <c r="ITF1" s="186"/>
      <c r="ITG1" s="186"/>
      <c r="ITH1" s="186"/>
      <c r="ITI1" s="186"/>
      <c r="ITJ1" s="186"/>
      <c r="ITK1" s="186"/>
      <c r="ITL1" s="186"/>
      <c r="ITM1" s="186"/>
      <c r="ITN1" s="186"/>
      <c r="ITO1" s="186"/>
      <c r="ITP1" s="186"/>
      <c r="ITQ1" s="186"/>
      <c r="ITR1" s="186"/>
      <c r="ITS1" s="186"/>
      <c r="ITT1" s="186"/>
      <c r="ITU1" s="186"/>
      <c r="ITV1" s="186"/>
      <c r="ITW1" s="186"/>
      <c r="ITX1" s="186"/>
      <c r="ITY1" s="186"/>
      <c r="ITZ1" s="186"/>
      <c r="IUA1" s="186"/>
      <c r="IUB1" s="186"/>
      <c r="IUC1" s="186"/>
      <c r="IUD1" s="186"/>
      <c r="IUE1" s="186"/>
      <c r="IUF1" s="186"/>
      <c r="IUG1" s="186"/>
      <c r="IUH1" s="186"/>
      <c r="IUI1" s="186"/>
      <c r="IUJ1" s="186"/>
      <c r="IUK1" s="186"/>
      <c r="IUL1" s="186"/>
      <c r="IUM1" s="186"/>
      <c r="IUN1" s="186"/>
      <c r="IUO1" s="186"/>
      <c r="IUP1" s="186"/>
      <c r="IUQ1" s="186"/>
      <c r="IUR1" s="186"/>
      <c r="IUS1" s="186"/>
      <c r="IUT1" s="186"/>
      <c r="IUU1" s="186"/>
      <c r="IUV1" s="186"/>
      <c r="IUW1" s="186"/>
      <c r="IUX1" s="186"/>
      <c r="IUY1" s="186"/>
      <c r="IUZ1" s="186"/>
      <c r="IVA1" s="186"/>
      <c r="IVB1" s="186"/>
      <c r="IVC1" s="186"/>
      <c r="IVD1" s="186"/>
      <c r="IVE1" s="186"/>
      <c r="IVF1" s="186"/>
      <c r="IVG1" s="186"/>
      <c r="IVH1" s="186"/>
      <c r="IVI1" s="186"/>
      <c r="IVJ1" s="186"/>
      <c r="IVK1" s="186"/>
      <c r="IVL1" s="186"/>
      <c r="IVM1" s="186"/>
      <c r="IVN1" s="186"/>
      <c r="IVO1" s="186"/>
      <c r="IVP1" s="186"/>
      <c r="IVQ1" s="186"/>
      <c r="IVR1" s="186"/>
      <c r="IVS1" s="186"/>
      <c r="IVT1" s="186"/>
      <c r="IVU1" s="186"/>
      <c r="IVV1" s="186"/>
      <c r="IVW1" s="186"/>
      <c r="IVX1" s="186"/>
      <c r="IVY1" s="186"/>
      <c r="IVZ1" s="186"/>
      <c r="IWA1" s="186"/>
      <c r="IWB1" s="186"/>
      <c r="IWC1" s="186"/>
      <c r="IWD1" s="186"/>
      <c r="IWE1" s="186"/>
      <c r="IWF1" s="186"/>
      <c r="IWG1" s="186"/>
      <c r="IWH1" s="186"/>
      <c r="IWI1" s="186"/>
      <c r="IWJ1" s="186"/>
      <c r="IWK1" s="186"/>
      <c r="IWL1" s="186"/>
      <c r="IWM1" s="186"/>
      <c r="IWN1" s="186"/>
      <c r="IWO1" s="186"/>
      <c r="IWP1" s="186"/>
      <c r="IWQ1" s="186"/>
      <c r="IWR1" s="186"/>
      <c r="IWS1" s="186"/>
      <c r="IWT1" s="186"/>
      <c r="IWU1" s="186"/>
      <c r="IWV1" s="186"/>
      <c r="IWW1" s="186"/>
      <c r="IWX1" s="186"/>
      <c r="IWY1" s="186"/>
      <c r="IWZ1" s="186"/>
      <c r="IXA1" s="186"/>
      <c r="IXB1" s="186"/>
      <c r="IXC1" s="186"/>
      <c r="IXD1" s="186"/>
      <c r="IXE1" s="186"/>
      <c r="IXF1" s="186"/>
      <c r="IXG1" s="186"/>
      <c r="IXH1" s="186"/>
      <c r="IXI1" s="186"/>
      <c r="IXJ1" s="186"/>
      <c r="IXK1" s="186"/>
      <c r="IXL1" s="186"/>
      <c r="IXM1" s="186"/>
      <c r="IXN1" s="186"/>
      <c r="IXO1" s="186"/>
      <c r="IXP1" s="186"/>
      <c r="IXQ1" s="186"/>
      <c r="IXR1" s="186"/>
      <c r="IXS1" s="186"/>
      <c r="IXT1" s="186"/>
      <c r="IXU1" s="186"/>
      <c r="IXV1" s="186"/>
      <c r="IXW1" s="186"/>
      <c r="IXX1" s="186"/>
      <c r="IXY1" s="186"/>
      <c r="IXZ1" s="186"/>
      <c r="IYA1" s="186"/>
      <c r="IYB1" s="186"/>
      <c r="IYC1" s="186"/>
      <c r="IYD1" s="186"/>
      <c r="IYE1" s="186"/>
      <c r="IYF1" s="186"/>
      <c r="IYG1" s="186"/>
      <c r="IYH1" s="186"/>
      <c r="IYI1" s="186"/>
      <c r="IYJ1" s="186"/>
      <c r="IYK1" s="186"/>
      <c r="IYL1" s="186"/>
      <c r="IYM1" s="186"/>
      <c r="IYN1" s="186"/>
      <c r="IYO1" s="186"/>
      <c r="IYP1" s="186"/>
      <c r="IYQ1" s="186"/>
      <c r="IYR1" s="186"/>
      <c r="IYS1" s="186"/>
      <c r="IYT1" s="186"/>
      <c r="IYU1" s="186"/>
      <c r="IYV1" s="186"/>
      <c r="IYW1" s="186"/>
      <c r="IYX1" s="186"/>
      <c r="IYY1" s="186"/>
      <c r="IYZ1" s="186"/>
      <c r="IZA1" s="186"/>
      <c r="IZB1" s="186"/>
      <c r="IZC1" s="186"/>
      <c r="IZD1" s="186"/>
      <c r="IZE1" s="186"/>
      <c r="IZF1" s="186"/>
      <c r="IZG1" s="186"/>
      <c r="IZH1" s="186"/>
      <c r="IZI1" s="186"/>
      <c r="IZJ1" s="186"/>
      <c r="IZK1" s="186"/>
      <c r="IZL1" s="186"/>
      <c r="IZM1" s="186"/>
      <c r="IZN1" s="186"/>
      <c r="IZO1" s="186"/>
      <c r="IZP1" s="186"/>
      <c r="IZQ1" s="186"/>
      <c r="IZR1" s="186"/>
      <c r="IZS1" s="186"/>
      <c r="IZT1" s="186"/>
      <c r="IZU1" s="186"/>
      <c r="IZV1" s="186"/>
      <c r="IZW1" s="186"/>
      <c r="IZX1" s="186"/>
      <c r="IZY1" s="186"/>
      <c r="IZZ1" s="186"/>
      <c r="JAA1" s="186"/>
      <c r="JAB1" s="186"/>
      <c r="JAC1" s="186"/>
      <c r="JAD1" s="186"/>
      <c r="JAE1" s="186"/>
      <c r="JAF1" s="186"/>
      <c r="JAG1" s="186"/>
      <c r="JAH1" s="186"/>
      <c r="JAI1" s="186"/>
      <c r="JAJ1" s="186"/>
      <c r="JAK1" s="186"/>
      <c r="JAL1" s="186"/>
      <c r="JAM1" s="186"/>
      <c r="JAN1" s="186"/>
      <c r="JAO1" s="186"/>
      <c r="JAP1" s="186"/>
      <c r="JAQ1" s="186"/>
      <c r="JAR1" s="186"/>
      <c r="JAS1" s="186"/>
      <c r="JAT1" s="186"/>
      <c r="JAU1" s="186"/>
      <c r="JAV1" s="186"/>
      <c r="JAW1" s="186"/>
      <c r="JAX1" s="186"/>
      <c r="JAY1" s="186"/>
      <c r="JAZ1" s="186"/>
      <c r="JBA1" s="186"/>
      <c r="JBB1" s="186"/>
      <c r="JBC1" s="186"/>
      <c r="JBD1" s="186"/>
      <c r="JBE1" s="186"/>
      <c r="JBF1" s="186"/>
      <c r="JBG1" s="186"/>
      <c r="JBH1" s="186"/>
      <c r="JBI1" s="186"/>
      <c r="JBJ1" s="186"/>
      <c r="JBK1" s="186"/>
      <c r="JBL1" s="186"/>
      <c r="JBM1" s="186"/>
      <c r="JBN1" s="186"/>
      <c r="JBO1" s="186"/>
      <c r="JBP1" s="186"/>
      <c r="JBQ1" s="186"/>
      <c r="JBR1" s="186"/>
      <c r="JBS1" s="186"/>
      <c r="JBT1" s="186"/>
      <c r="JBU1" s="186"/>
      <c r="JBV1" s="186"/>
      <c r="JBW1" s="186"/>
      <c r="JBX1" s="186"/>
      <c r="JBY1" s="186"/>
      <c r="JBZ1" s="186"/>
      <c r="JCA1" s="186"/>
      <c r="JCB1" s="186"/>
      <c r="JCC1" s="186"/>
      <c r="JCD1" s="186"/>
      <c r="JCE1" s="186"/>
      <c r="JCF1" s="186"/>
      <c r="JCG1" s="186"/>
      <c r="JCH1" s="186"/>
      <c r="JCI1" s="186"/>
      <c r="JCJ1" s="186"/>
      <c r="JCK1" s="186"/>
      <c r="JCL1" s="186"/>
      <c r="JCM1" s="186"/>
      <c r="JCN1" s="186"/>
      <c r="JCO1" s="186"/>
      <c r="JCP1" s="186"/>
      <c r="JCQ1" s="186"/>
      <c r="JCR1" s="186"/>
      <c r="JCS1" s="186"/>
      <c r="JCT1" s="186"/>
      <c r="JCU1" s="186"/>
      <c r="JCV1" s="186"/>
      <c r="JCW1" s="186"/>
      <c r="JCX1" s="186"/>
      <c r="JCY1" s="186"/>
      <c r="JCZ1" s="186"/>
      <c r="JDA1" s="186"/>
      <c r="JDB1" s="186"/>
      <c r="JDC1" s="186"/>
      <c r="JDD1" s="186"/>
      <c r="JDE1" s="186"/>
      <c r="JDF1" s="186"/>
      <c r="JDG1" s="186"/>
      <c r="JDH1" s="186"/>
      <c r="JDI1" s="186"/>
      <c r="JDJ1" s="186"/>
      <c r="JDK1" s="186"/>
      <c r="JDL1" s="186"/>
      <c r="JDM1" s="186"/>
      <c r="JDN1" s="186"/>
      <c r="JDO1" s="186"/>
      <c r="JDP1" s="186"/>
      <c r="JDQ1" s="186"/>
      <c r="JDR1" s="186"/>
      <c r="JDS1" s="186"/>
      <c r="JDT1" s="186"/>
      <c r="JDU1" s="186"/>
      <c r="JDV1" s="186"/>
      <c r="JDW1" s="186"/>
      <c r="JDX1" s="186"/>
      <c r="JDY1" s="186"/>
      <c r="JDZ1" s="186"/>
      <c r="JEA1" s="186"/>
      <c r="JEB1" s="186"/>
      <c r="JEC1" s="186"/>
      <c r="JED1" s="186"/>
      <c r="JEE1" s="186"/>
      <c r="JEF1" s="186"/>
      <c r="JEG1" s="186"/>
      <c r="JEH1" s="186"/>
      <c r="JEI1" s="186"/>
      <c r="JEJ1" s="186"/>
      <c r="JEK1" s="186"/>
      <c r="JEL1" s="186"/>
      <c r="JEM1" s="186"/>
      <c r="JEN1" s="186"/>
      <c r="JEO1" s="186"/>
      <c r="JEP1" s="186"/>
      <c r="JEQ1" s="186"/>
      <c r="JER1" s="186"/>
      <c r="JES1" s="186"/>
      <c r="JET1" s="186"/>
      <c r="JEU1" s="186"/>
      <c r="JEV1" s="186"/>
      <c r="JEW1" s="186"/>
      <c r="JEX1" s="186"/>
      <c r="JEY1" s="186"/>
      <c r="JEZ1" s="186"/>
      <c r="JFA1" s="186"/>
      <c r="JFB1" s="186"/>
      <c r="JFC1" s="186"/>
      <c r="JFD1" s="186"/>
      <c r="JFE1" s="186"/>
      <c r="JFF1" s="186"/>
      <c r="JFG1" s="186"/>
      <c r="JFH1" s="186"/>
      <c r="JFI1" s="186"/>
      <c r="JFJ1" s="186"/>
      <c r="JFK1" s="186"/>
      <c r="JFL1" s="186"/>
      <c r="JFM1" s="186"/>
      <c r="JFN1" s="186"/>
      <c r="JFO1" s="186"/>
      <c r="JFP1" s="186"/>
      <c r="JFQ1" s="186"/>
      <c r="JFR1" s="186"/>
      <c r="JFS1" s="186"/>
      <c r="JFT1" s="186"/>
      <c r="JFU1" s="186"/>
      <c r="JFV1" s="186"/>
      <c r="JFW1" s="186"/>
      <c r="JFX1" s="186"/>
      <c r="JFY1" s="186"/>
      <c r="JFZ1" s="186"/>
      <c r="JGA1" s="186"/>
      <c r="JGB1" s="186"/>
      <c r="JGC1" s="186"/>
      <c r="JGD1" s="186"/>
      <c r="JGE1" s="186"/>
      <c r="JGF1" s="186"/>
      <c r="JGG1" s="186"/>
      <c r="JGH1" s="186"/>
      <c r="JGI1" s="186"/>
      <c r="JGJ1" s="186"/>
      <c r="JGK1" s="186"/>
      <c r="JGL1" s="186"/>
      <c r="JGM1" s="186"/>
      <c r="JGN1" s="186"/>
      <c r="JGO1" s="186"/>
      <c r="JGP1" s="186"/>
      <c r="JGQ1" s="186"/>
      <c r="JGR1" s="186"/>
      <c r="JGS1" s="186"/>
      <c r="JGT1" s="186"/>
      <c r="JGU1" s="186"/>
      <c r="JGV1" s="186"/>
      <c r="JGW1" s="186"/>
      <c r="JGX1" s="186"/>
      <c r="JGY1" s="186"/>
      <c r="JGZ1" s="186"/>
      <c r="JHA1" s="186"/>
      <c r="JHB1" s="186"/>
      <c r="JHC1" s="186"/>
      <c r="JHD1" s="186"/>
      <c r="JHE1" s="186"/>
      <c r="JHF1" s="186"/>
      <c r="JHG1" s="186"/>
      <c r="JHH1" s="186"/>
      <c r="JHI1" s="186"/>
      <c r="JHJ1" s="186"/>
      <c r="JHK1" s="186"/>
      <c r="JHL1" s="186"/>
      <c r="JHM1" s="186"/>
      <c r="JHN1" s="186"/>
      <c r="JHO1" s="186"/>
      <c r="JHP1" s="186"/>
      <c r="JHQ1" s="186"/>
      <c r="JHR1" s="186"/>
      <c r="JHS1" s="186"/>
      <c r="JHT1" s="186"/>
      <c r="JHU1" s="186"/>
      <c r="JHV1" s="186"/>
      <c r="JHW1" s="186"/>
      <c r="JHX1" s="186"/>
      <c r="JHY1" s="186"/>
      <c r="JHZ1" s="186"/>
      <c r="JIA1" s="186"/>
      <c r="JIB1" s="186"/>
      <c r="JIC1" s="186"/>
      <c r="JID1" s="186"/>
      <c r="JIE1" s="186"/>
      <c r="JIF1" s="186"/>
      <c r="JIG1" s="186"/>
      <c r="JIH1" s="186"/>
      <c r="JII1" s="186"/>
      <c r="JIJ1" s="186"/>
      <c r="JIK1" s="186"/>
      <c r="JIL1" s="186"/>
      <c r="JIM1" s="186"/>
      <c r="JIN1" s="186"/>
      <c r="JIO1" s="186"/>
      <c r="JIP1" s="186"/>
      <c r="JIQ1" s="186"/>
      <c r="JIR1" s="186"/>
      <c r="JIS1" s="186"/>
      <c r="JIT1" s="186"/>
      <c r="JIU1" s="186"/>
      <c r="JIV1" s="186"/>
      <c r="JIW1" s="186"/>
      <c r="JIX1" s="186"/>
      <c r="JIY1" s="186"/>
      <c r="JIZ1" s="186"/>
      <c r="JJA1" s="186"/>
      <c r="JJB1" s="186"/>
      <c r="JJC1" s="186"/>
      <c r="JJD1" s="186"/>
      <c r="JJE1" s="186"/>
      <c r="JJF1" s="186"/>
      <c r="JJG1" s="186"/>
      <c r="JJH1" s="186"/>
      <c r="JJI1" s="186"/>
      <c r="JJJ1" s="186"/>
      <c r="JJK1" s="186"/>
      <c r="JJL1" s="186"/>
      <c r="JJM1" s="186"/>
      <c r="JJN1" s="186"/>
      <c r="JJO1" s="186"/>
      <c r="JJP1" s="186"/>
      <c r="JJQ1" s="186"/>
      <c r="JJR1" s="186"/>
      <c r="JJS1" s="186"/>
      <c r="JJT1" s="186"/>
      <c r="JJU1" s="186"/>
      <c r="JJV1" s="186"/>
      <c r="JJW1" s="186"/>
      <c r="JJX1" s="186"/>
      <c r="JJY1" s="186"/>
      <c r="JJZ1" s="186"/>
      <c r="JKA1" s="186"/>
      <c r="JKB1" s="186"/>
      <c r="JKC1" s="186"/>
      <c r="JKD1" s="186"/>
      <c r="JKE1" s="186"/>
      <c r="JKF1" s="186"/>
      <c r="JKG1" s="186"/>
      <c r="JKH1" s="186"/>
      <c r="JKI1" s="186"/>
      <c r="JKJ1" s="186"/>
      <c r="JKK1" s="186"/>
      <c r="JKL1" s="186"/>
      <c r="JKM1" s="186"/>
      <c r="JKN1" s="186"/>
      <c r="JKO1" s="186"/>
      <c r="JKP1" s="186"/>
      <c r="JKQ1" s="186"/>
      <c r="JKR1" s="186"/>
      <c r="JKS1" s="186"/>
      <c r="JKT1" s="186"/>
      <c r="JKU1" s="186"/>
      <c r="JKV1" s="186"/>
      <c r="JKW1" s="186"/>
      <c r="JKX1" s="186"/>
      <c r="JKY1" s="186"/>
      <c r="JKZ1" s="186"/>
      <c r="JLA1" s="186"/>
      <c r="JLB1" s="186"/>
      <c r="JLC1" s="186"/>
      <c r="JLD1" s="186"/>
      <c r="JLE1" s="186"/>
      <c r="JLF1" s="186"/>
      <c r="JLG1" s="186"/>
      <c r="JLH1" s="186"/>
      <c r="JLI1" s="186"/>
      <c r="JLJ1" s="186"/>
      <c r="JLK1" s="186"/>
      <c r="JLL1" s="186"/>
      <c r="JLM1" s="186"/>
      <c r="JLN1" s="186"/>
      <c r="JLO1" s="186"/>
      <c r="JLP1" s="186"/>
      <c r="JLQ1" s="186"/>
      <c r="JLR1" s="186"/>
      <c r="JLS1" s="186"/>
      <c r="JLT1" s="186"/>
      <c r="JLU1" s="186"/>
      <c r="JLV1" s="186"/>
      <c r="JLW1" s="186"/>
      <c r="JLX1" s="186"/>
      <c r="JLY1" s="186"/>
      <c r="JLZ1" s="186"/>
      <c r="JMA1" s="186"/>
      <c r="JMB1" s="186"/>
      <c r="JMC1" s="186"/>
      <c r="JMD1" s="186"/>
      <c r="JME1" s="186"/>
      <c r="JMF1" s="186"/>
      <c r="JMG1" s="186"/>
      <c r="JMH1" s="186"/>
      <c r="JMI1" s="186"/>
      <c r="JMJ1" s="186"/>
      <c r="JMK1" s="186"/>
      <c r="JML1" s="186"/>
      <c r="JMM1" s="186"/>
      <c r="JMN1" s="186"/>
      <c r="JMO1" s="186"/>
      <c r="JMP1" s="186"/>
      <c r="JMQ1" s="186"/>
      <c r="JMR1" s="186"/>
      <c r="JMS1" s="186"/>
      <c r="JMT1" s="186"/>
      <c r="JMU1" s="186"/>
      <c r="JMV1" s="186"/>
      <c r="JMW1" s="186"/>
      <c r="JMX1" s="186"/>
      <c r="JMY1" s="186"/>
      <c r="JMZ1" s="186"/>
      <c r="JNA1" s="186"/>
      <c r="JNB1" s="186"/>
      <c r="JNC1" s="186"/>
      <c r="JND1" s="186"/>
      <c r="JNE1" s="186"/>
      <c r="JNF1" s="186"/>
      <c r="JNG1" s="186"/>
      <c r="JNH1" s="186"/>
      <c r="JNI1" s="186"/>
      <c r="JNJ1" s="186"/>
      <c r="JNK1" s="186"/>
      <c r="JNL1" s="186"/>
      <c r="JNM1" s="186"/>
      <c r="JNN1" s="186"/>
      <c r="JNO1" s="186"/>
      <c r="JNP1" s="186"/>
      <c r="JNQ1" s="186"/>
      <c r="JNR1" s="186"/>
      <c r="JNS1" s="186"/>
      <c r="JNT1" s="186"/>
      <c r="JNU1" s="186"/>
      <c r="JNV1" s="186"/>
      <c r="JNW1" s="186"/>
      <c r="JNX1" s="186"/>
      <c r="JNY1" s="186"/>
      <c r="JNZ1" s="186"/>
      <c r="JOA1" s="186"/>
      <c r="JOB1" s="186"/>
      <c r="JOC1" s="186"/>
      <c r="JOD1" s="186"/>
      <c r="JOE1" s="186"/>
      <c r="JOF1" s="186"/>
      <c r="JOG1" s="186"/>
      <c r="JOH1" s="186"/>
      <c r="JOI1" s="186"/>
      <c r="JOJ1" s="186"/>
      <c r="JOK1" s="186"/>
      <c r="JOL1" s="186"/>
      <c r="JOM1" s="186"/>
      <c r="JON1" s="186"/>
      <c r="JOO1" s="186"/>
      <c r="JOP1" s="186"/>
      <c r="JOQ1" s="186"/>
      <c r="JOR1" s="186"/>
      <c r="JOS1" s="186"/>
      <c r="JOT1" s="186"/>
      <c r="JOU1" s="186"/>
      <c r="JOV1" s="186"/>
      <c r="JOW1" s="186"/>
      <c r="JOX1" s="186"/>
      <c r="JOY1" s="186"/>
      <c r="JOZ1" s="186"/>
      <c r="JPA1" s="186"/>
      <c r="JPB1" s="186"/>
      <c r="JPC1" s="186"/>
      <c r="JPD1" s="186"/>
      <c r="JPE1" s="186"/>
      <c r="JPF1" s="186"/>
      <c r="JPG1" s="186"/>
      <c r="JPH1" s="186"/>
      <c r="JPI1" s="186"/>
      <c r="JPJ1" s="186"/>
      <c r="JPK1" s="186"/>
      <c r="JPL1" s="186"/>
      <c r="JPM1" s="186"/>
      <c r="JPN1" s="186"/>
      <c r="JPO1" s="186"/>
      <c r="JPP1" s="186"/>
      <c r="JPQ1" s="186"/>
      <c r="JPR1" s="186"/>
      <c r="JPS1" s="186"/>
      <c r="JPT1" s="186"/>
      <c r="JPU1" s="186"/>
      <c r="JPV1" s="186"/>
      <c r="JPW1" s="186"/>
      <c r="JPX1" s="186"/>
      <c r="JPY1" s="186"/>
      <c r="JPZ1" s="186"/>
      <c r="JQA1" s="186"/>
      <c r="JQB1" s="186"/>
      <c r="JQC1" s="186"/>
      <c r="JQD1" s="186"/>
      <c r="JQE1" s="186"/>
      <c r="JQF1" s="186"/>
      <c r="JQG1" s="186"/>
      <c r="JQH1" s="186"/>
      <c r="JQI1" s="186"/>
      <c r="JQJ1" s="186"/>
      <c r="JQK1" s="186"/>
      <c r="JQL1" s="186"/>
      <c r="JQM1" s="186"/>
      <c r="JQN1" s="186"/>
      <c r="JQO1" s="186"/>
      <c r="JQP1" s="186"/>
      <c r="JQQ1" s="186"/>
      <c r="JQR1" s="186"/>
      <c r="JQS1" s="186"/>
      <c r="JQT1" s="186"/>
      <c r="JQU1" s="186"/>
      <c r="JQV1" s="186"/>
      <c r="JQW1" s="186"/>
      <c r="JQX1" s="186"/>
      <c r="JQY1" s="186"/>
      <c r="JQZ1" s="186"/>
      <c r="JRA1" s="186"/>
      <c r="JRB1" s="186"/>
      <c r="JRC1" s="186"/>
      <c r="JRD1" s="186"/>
      <c r="JRE1" s="186"/>
      <c r="JRF1" s="186"/>
      <c r="JRG1" s="186"/>
      <c r="JRH1" s="186"/>
      <c r="JRI1" s="186"/>
      <c r="JRJ1" s="186"/>
      <c r="JRK1" s="186"/>
      <c r="JRL1" s="186"/>
      <c r="JRM1" s="186"/>
      <c r="JRN1" s="186"/>
      <c r="JRO1" s="186"/>
      <c r="JRP1" s="186"/>
      <c r="JRQ1" s="186"/>
      <c r="JRR1" s="186"/>
      <c r="JRS1" s="186"/>
      <c r="JRT1" s="186"/>
      <c r="JRU1" s="186"/>
      <c r="JRV1" s="186"/>
      <c r="JRW1" s="186"/>
      <c r="JRX1" s="186"/>
      <c r="JRY1" s="186"/>
      <c r="JRZ1" s="186"/>
      <c r="JSA1" s="186"/>
      <c r="JSB1" s="186"/>
      <c r="JSC1" s="186"/>
      <c r="JSD1" s="186"/>
      <c r="JSE1" s="186"/>
      <c r="JSF1" s="186"/>
      <c r="JSG1" s="186"/>
      <c r="JSH1" s="186"/>
      <c r="JSI1" s="186"/>
      <c r="JSJ1" s="186"/>
      <c r="JSK1" s="186"/>
      <c r="JSL1" s="186"/>
      <c r="JSM1" s="186"/>
      <c r="JSN1" s="186"/>
      <c r="JSO1" s="186"/>
      <c r="JSP1" s="186"/>
      <c r="JSQ1" s="186"/>
      <c r="JSR1" s="186"/>
      <c r="JSS1" s="186"/>
      <c r="JST1" s="186"/>
      <c r="JSU1" s="186"/>
      <c r="JSV1" s="186"/>
      <c r="JSW1" s="186"/>
      <c r="JSX1" s="186"/>
      <c r="JSY1" s="186"/>
      <c r="JSZ1" s="186"/>
      <c r="JTA1" s="186"/>
      <c r="JTB1" s="186"/>
      <c r="JTC1" s="186"/>
      <c r="JTD1" s="186"/>
      <c r="JTE1" s="186"/>
      <c r="JTF1" s="186"/>
      <c r="JTG1" s="186"/>
      <c r="JTH1" s="186"/>
      <c r="JTI1" s="186"/>
      <c r="JTJ1" s="186"/>
      <c r="JTK1" s="186"/>
      <c r="JTL1" s="186"/>
      <c r="JTM1" s="186"/>
      <c r="JTN1" s="186"/>
      <c r="JTO1" s="186"/>
      <c r="JTP1" s="186"/>
      <c r="JTQ1" s="186"/>
      <c r="JTR1" s="186"/>
      <c r="JTS1" s="186"/>
      <c r="JTT1" s="186"/>
      <c r="JTU1" s="186"/>
      <c r="JTV1" s="186"/>
      <c r="JTW1" s="186"/>
      <c r="JTX1" s="186"/>
      <c r="JTY1" s="186"/>
      <c r="JTZ1" s="186"/>
      <c r="JUA1" s="186"/>
      <c r="JUB1" s="186"/>
      <c r="JUC1" s="186"/>
      <c r="JUD1" s="186"/>
      <c r="JUE1" s="186"/>
      <c r="JUF1" s="186"/>
      <c r="JUG1" s="186"/>
      <c r="JUH1" s="186"/>
      <c r="JUI1" s="186"/>
      <c r="JUJ1" s="186"/>
      <c r="JUK1" s="186"/>
      <c r="JUL1" s="186"/>
      <c r="JUM1" s="186"/>
      <c r="JUN1" s="186"/>
      <c r="JUO1" s="186"/>
      <c r="JUP1" s="186"/>
      <c r="JUQ1" s="186"/>
      <c r="JUR1" s="186"/>
      <c r="JUS1" s="186"/>
      <c r="JUT1" s="186"/>
      <c r="JUU1" s="186"/>
      <c r="JUV1" s="186"/>
      <c r="JUW1" s="186"/>
      <c r="JUX1" s="186"/>
      <c r="JUY1" s="186"/>
      <c r="JUZ1" s="186"/>
      <c r="JVA1" s="186"/>
      <c r="JVB1" s="186"/>
      <c r="JVC1" s="186"/>
      <c r="JVD1" s="186"/>
      <c r="JVE1" s="186"/>
      <c r="JVF1" s="186"/>
      <c r="JVG1" s="186"/>
      <c r="JVH1" s="186"/>
      <c r="JVI1" s="186"/>
      <c r="JVJ1" s="186"/>
      <c r="JVK1" s="186"/>
      <c r="JVL1" s="186"/>
      <c r="JVM1" s="186"/>
      <c r="JVN1" s="186"/>
      <c r="JVO1" s="186"/>
      <c r="JVP1" s="186"/>
      <c r="JVQ1" s="186"/>
      <c r="JVR1" s="186"/>
      <c r="JVS1" s="186"/>
      <c r="JVT1" s="186"/>
      <c r="JVU1" s="186"/>
      <c r="JVV1" s="186"/>
      <c r="JVW1" s="186"/>
      <c r="JVX1" s="186"/>
      <c r="JVY1" s="186"/>
      <c r="JVZ1" s="186"/>
      <c r="JWA1" s="186"/>
      <c r="JWB1" s="186"/>
      <c r="JWC1" s="186"/>
      <c r="JWD1" s="186"/>
      <c r="JWE1" s="186"/>
      <c r="JWF1" s="186"/>
      <c r="JWG1" s="186"/>
      <c r="JWH1" s="186"/>
      <c r="JWI1" s="186"/>
      <c r="JWJ1" s="186"/>
      <c r="JWK1" s="186"/>
      <c r="JWL1" s="186"/>
      <c r="JWM1" s="186"/>
      <c r="JWN1" s="186"/>
      <c r="JWO1" s="186"/>
      <c r="JWP1" s="186"/>
      <c r="JWQ1" s="186"/>
      <c r="JWR1" s="186"/>
      <c r="JWS1" s="186"/>
      <c r="JWT1" s="186"/>
      <c r="JWU1" s="186"/>
      <c r="JWV1" s="186"/>
      <c r="JWW1" s="186"/>
      <c r="JWX1" s="186"/>
      <c r="JWY1" s="186"/>
      <c r="JWZ1" s="186"/>
      <c r="JXA1" s="186"/>
      <c r="JXB1" s="186"/>
      <c r="JXC1" s="186"/>
      <c r="JXD1" s="186"/>
      <c r="JXE1" s="186"/>
      <c r="JXF1" s="186"/>
      <c r="JXG1" s="186"/>
      <c r="JXH1" s="186"/>
      <c r="JXI1" s="186"/>
      <c r="JXJ1" s="186"/>
      <c r="JXK1" s="186"/>
      <c r="JXL1" s="186"/>
      <c r="JXM1" s="186"/>
      <c r="JXN1" s="186"/>
      <c r="JXO1" s="186"/>
      <c r="JXP1" s="186"/>
      <c r="JXQ1" s="186"/>
      <c r="JXR1" s="186"/>
      <c r="JXS1" s="186"/>
      <c r="JXT1" s="186"/>
      <c r="JXU1" s="186"/>
      <c r="JXV1" s="186"/>
      <c r="JXW1" s="186"/>
      <c r="JXX1" s="186"/>
      <c r="JXY1" s="186"/>
      <c r="JXZ1" s="186"/>
      <c r="JYA1" s="186"/>
      <c r="JYB1" s="186"/>
      <c r="JYC1" s="186"/>
      <c r="JYD1" s="186"/>
      <c r="JYE1" s="186"/>
      <c r="JYF1" s="186"/>
      <c r="JYG1" s="186"/>
      <c r="JYH1" s="186"/>
      <c r="JYI1" s="186"/>
      <c r="JYJ1" s="186"/>
      <c r="JYK1" s="186"/>
      <c r="JYL1" s="186"/>
      <c r="JYM1" s="186"/>
      <c r="JYN1" s="186"/>
      <c r="JYO1" s="186"/>
      <c r="JYP1" s="186"/>
      <c r="JYQ1" s="186"/>
      <c r="JYR1" s="186"/>
      <c r="JYS1" s="186"/>
      <c r="JYT1" s="186"/>
      <c r="JYU1" s="186"/>
      <c r="JYV1" s="186"/>
      <c r="JYW1" s="186"/>
      <c r="JYX1" s="186"/>
      <c r="JYY1" s="186"/>
      <c r="JYZ1" s="186"/>
      <c r="JZA1" s="186"/>
      <c r="JZB1" s="186"/>
      <c r="JZC1" s="186"/>
      <c r="JZD1" s="186"/>
      <c r="JZE1" s="186"/>
      <c r="JZF1" s="186"/>
      <c r="JZG1" s="186"/>
      <c r="JZH1" s="186"/>
      <c r="JZI1" s="186"/>
      <c r="JZJ1" s="186"/>
      <c r="JZK1" s="186"/>
      <c r="JZL1" s="186"/>
      <c r="JZM1" s="186"/>
      <c r="JZN1" s="186"/>
      <c r="JZO1" s="186"/>
      <c r="JZP1" s="186"/>
      <c r="JZQ1" s="186"/>
      <c r="JZR1" s="186"/>
      <c r="JZS1" s="186"/>
      <c r="JZT1" s="186"/>
      <c r="JZU1" s="186"/>
      <c r="JZV1" s="186"/>
      <c r="JZW1" s="186"/>
      <c r="JZX1" s="186"/>
      <c r="JZY1" s="186"/>
      <c r="JZZ1" s="186"/>
      <c r="KAA1" s="186"/>
      <c r="KAB1" s="186"/>
      <c r="KAC1" s="186"/>
      <c r="KAD1" s="186"/>
      <c r="KAE1" s="186"/>
      <c r="KAF1" s="186"/>
      <c r="KAG1" s="186"/>
      <c r="KAH1" s="186"/>
      <c r="KAI1" s="186"/>
      <c r="KAJ1" s="186"/>
      <c r="KAK1" s="186"/>
      <c r="KAL1" s="186"/>
      <c r="KAM1" s="186"/>
      <c r="KAN1" s="186"/>
      <c r="KAO1" s="186"/>
      <c r="KAP1" s="186"/>
      <c r="KAQ1" s="186"/>
      <c r="KAR1" s="186"/>
      <c r="KAS1" s="186"/>
      <c r="KAT1" s="186"/>
      <c r="KAU1" s="186"/>
      <c r="KAV1" s="186"/>
      <c r="KAW1" s="186"/>
      <c r="KAX1" s="186"/>
      <c r="KAY1" s="186"/>
      <c r="KAZ1" s="186"/>
      <c r="KBA1" s="186"/>
      <c r="KBB1" s="186"/>
      <c r="KBC1" s="186"/>
      <c r="KBD1" s="186"/>
      <c r="KBE1" s="186"/>
      <c r="KBF1" s="186"/>
      <c r="KBG1" s="186"/>
      <c r="KBH1" s="186"/>
      <c r="KBI1" s="186"/>
      <c r="KBJ1" s="186"/>
      <c r="KBK1" s="186"/>
      <c r="KBL1" s="186"/>
      <c r="KBM1" s="186"/>
      <c r="KBN1" s="186"/>
      <c r="KBO1" s="186"/>
      <c r="KBP1" s="186"/>
      <c r="KBQ1" s="186"/>
      <c r="KBR1" s="186"/>
      <c r="KBS1" s="186"/>
      <c r="KBT1" s="186"/>
      <c r="KBU1" s="186"/>
      <c r="KBV1" s="186"/>
      <c r="KBW1" s="186"/>
      <c r="KBX1" s="186"/>
      <c r="KBY1" s="186"/>
      <c r="KBZ1" s="186"/>
      <c r="KCA1" s="186"/>
      <c r="KCB1" s="186"/>
      <c r="KCC1" s="186"/>
      <c r="KCD1" s="186"/>
      <c r="KCE1" s="186"/>
      <c r="KCF1" s="186"/>
      <c r="KCG1" s="186"/>
      <c r="KCH1" s="186"/>
      <c r="KCI1" s="186"/>
      <c r="KCJ1" s="186"/>
      <c r="KCK1" s="186"/>
      <c r="KCL1" s="186"/>
      <c r="KCM1" s="186"/>
      <c r="KCN1" s="186"/>
      <c r="KCO1" s="186"/>
      <c r="KCP1" s="186"/>
      <c r="KCQ1" s="186"/>
      <c r="KCR1" s="186"/>
      <c r="KCS1" s="186"/>
      <c r="KCT1" s="186"/>
      <c r="KCU1" s="186"/>
      <c r="KCV1" s="186"/>
      <c r="KCW1" s="186"/>
      <c r="KCX1" s="186"/>
      <c r="KCY1" s="186"/>
      <c r="KCZ1" s="186"/>
      <c r="KDA1" s="186"/>
      <c r="KDB1" s="186"/>
      <c r="KDC1" s="186"/>
      <c r="KDD1" s="186"/>
      <c r="KDE1" s="186"/>
      <c r="KDF1" s="186"/>
      <c r="KDG1" s="186"/>
      <c r="KDH1" s="186"/>
      <c r="KDI1" s="186"/>
      <c r="KDJ1" s="186"/>
      <c r="KDK1" s="186"/>
      <c r="KDL1" s="186"/>
      <c r="KDM1" s="186"/>
      <c r="KDN1" s="186"/>
      <c r="KDO1" s="186"/>
      <c r="KDP1" s="186"/>
      <c r="KDQ1" s="186"/>
      <c r="KDR1" s="186"/>
      <c r="KDS1" s="186"/>
      <c r="KDT1" s="186"/>
      <c r="KDU1" s="186"/>
      <c r="KDV1" s="186"/>
      <c r="KDW1" s="186"/>
      <c r="KDX1" s="186"/>
      <c r="KDY1" s="186"/>
      <c r="KDZ1" s="186"/>
      <c r="KEA1" s="186"/>
      <c r="KEB1" s="186"/>
      <c r="KEC1" s="186"/>
      <c r="KED1" s="186"/>
      <c r="KEE1" s="186"/>
      <c r="KEF1" s="186"/>
      <c r="KEG1" s="186"/>
      <c r="KEH1" s="186"/>
      <c r="KEI1" s="186"/>
      <c r="KEJ1" s="186"/>
      <c r="KEK1" s="186"/>
      <c r="KEL1" s="186"/>
      <c r="KEM1" s="186"/>
      <c r="KEN1" s="186"/>
      <c r="KEO1" s="186"/>
      <c r="KEP1" s="186"/>
      <c r="KEQ1" s="186"/>
      <c r="KER1" s="186"/>
      <c r="KES1" s="186"/>
      <c r="KET1" s="186"/>
      <c r="KEU1" s="186"/>
      <c r="KEV1" s="186"/>
      <c r="KEW1" s="186"/>
      <c r="KEX1" s="186"/>
      <c r="KEY1" s="186"/>
      <c r="KEZ1" s="186"/>
      <c r="KFA1" s="186"/>
      <c r="KFB1" s="186"/>
      <c r="KFC1" s="186"/>
      <c r="KFD1" s="186"/>
      <c r="KFE1" s="186"/>
      <c r="KFF1" s="186"/>
      <c r="KFG1" s="186"/>
      <c r="KFH1" s="186"/>
      <c r="KFI1" s="186"/>
      <c r="KFJ1" s="186"/>
      <c r="KFK1" s="186"/>
      <c r="KFL1" s="186"/>
      <c r="KFM1" s="186"/>
      <c r="KFN1" s="186"/>
      <c r="KFO1" s="186"/>
      <c r="KFP1" s="186"/>
      <c r="KFQ1" s="186"/>
      <c r="KFR1" s="186"/>
      <c r="KFS1" s="186"/>
      <c r="KFT1" s="186"/>
      <c r="KFU1" s="186"/>
      <c r="KFV1" s="186"/>
      <c r="KFW1" s="186"/>
      <c r="KFX1" s="186"/>
      <c r="KFY1" s="186"/>
      <c r="KFZ1" s="186"/>
      <c r="KGA1" s="186"/>
      <c r="KGB1" s="186"/>
      <c r="KGC1" s="186"/>
      <c r="KGD1" s="186"/>
      <c r="KGE1" s="186"/>
      <c r="KGF1" s="186"/>
      <c r="KGG1" s="186"/>
      <c r="KGH1" s="186"/>
      <c r="KGI1" s="186"/>
      <c r="KGJ1" s="186"/>
      <c r="KGK1" s="186"/>
      <c r="KGL1" s="186"/>
      <c r="KGM1" s="186"/>
      <c r="KGN1" s="186"/>
      <c r="KGO1" s="186"/>
      <c r="KGP1" s="186"/>
      <c r="KGQ1" s="186"/>
      <c r="KGR1" s="186"/>
      <c r="KGS1" s="186"/>
      <c r="KGT1" s="186"/>
      <c r="KGU1" s="186"/>
      <c r="KGV1" s="186"/>
      <c r="KGW1" s="186"/>
      <c r="KGX1" s="186"/>
      <c r="KGY1" s="186"/>
      <c r="KGZ1" s="186"/>
      <c r="KHA1" s="186"/>
      <c r="KHB1" s="186"/>
      <c r="KHC1" s="186"/>
      <c r="KHD1" s="186"/>
      <c r="KHE1" s="186"/>
      <c r="KHF1" s="186"/>
      <c r="KHG1" s="186"/>
      <c r="KHH1" s="186"/>
      <c r="KHI1" s="186"/>
      <c r="KHJ1" s="186"/>
      <c r="KHK1" s="186"/>
      <c r="KHL1" s="186"/>
      <c r="KHM1" s="186"/>
      <c r="KHN1" s="186"/>
      <c r="KHO1" s="186"/>
      <c r="KHP1" s="186"/>
      <c r="KHQ1" s="186"/>
      <c r="KHR1" s="186"/>
      <c r="KHS1" s="186"/>
      <c r="KHT1" s="186"/>
      <c r="KHU1" s="186"/>
      <c r="KHV1" s="186"/>
      <c r="KHW1" s="186"/>
      <c r="KHX1" s="186"/>
      <c r="KHY1" s="186"/>
      <c r="KHZ1" s="186"/>
      <c r="KIA1" s="186"/>
      <c r="KIB1" s="186"/>
      <c r="KIC1" s="186"/>
      <c r="KID1" s="186"/>
      <c r="KIE1" s="186"/>
      <c r="KIF1" s="186"/>
      <c r="KIG1" s="186"/>
      <c r="KIH1" s="186"/>
      <c r="KII1" s="186"/>
      <c r="KIJ1" s="186"/>
      <c r="KIK1" s="186"/>
      <c r="KIL1" s="186"/>
      <c r="KIM1" s="186"/>
      <c r="KIN1" s="186"/>
      <c r="KIO1" s="186"/>
      <c r="KIP1" s="186"/>
      <c r="KIQ1" s="186"/>
      <c r="KIR1" s="186"/>
      <c r="KIS1" s="186"/>
      <c r="KIT1" s="186"/>
      <c r="KIU1" s="186"/>
      <c r="KIV1" s="186"/>
      <c r="KIW1" s="186"/>
      <c r="KIX1" s="186"/>
      <c r="KIY1" s="186"/>
      <c r="KIZ1" s="186"/>
      <c r="KJA1" s="186"/>
      <c r="KJB1" s="186"/>
      <c r="KJC1" s="186"/>
      <c r="KJD1" s="186"/>
      <c r="KJE1" s="186"/>
      <c r="KJF1" s="186"/>
      <c r="KJG1" s="186"/>
      <c r="KJH1" s="186"/>
      <c r="KJI1" s="186"/>
      <c r="KJJ1" s="186"/>
      <c r="KJK1" s="186"/>
      <c r="KJL1" s="186"/>
      <c r="KJM1" s="186"/>
      <c r="KJN1" s="186"/>
      <c r="KJO1" s="186"/>
      <c r="KJP1" s="186"/>
      <c r="KJQ1" s="186"/>
      <c r="KJR1" s="186"/>
      <c r="KJS1" s="186"/>
      <c r="KJT1" s="186"/>
      <c r="KJU1" s="186"/>
      <c r="KJV1" s="186"/>
      <c r="KJW1" s="186"/>
      <c r="KJX1" s="186"/>
      <c r="KJY1" s="186"/>
      <c r="KJZ1" s="186"/>
      <c r="KKA1" s="186"/>
      <c r="KKB1" s="186"/>
      <c r="KKC1" s="186"/>
      <c r="KKD1" s="186"/>
      <c r="KKE1" s="186"/>
      <c r="KKF1" s="186"/>
      <c r="KKG1" s="186"/>
      <c r="KKH1" s="186"/>
      <c r="KKI1" s="186"/>
      <c r="KKJ1" s="186"/>
      <c r="KKK1" s="186"/>
      <c r="KKL1" s="186"/>
      <c r="KKM1" s="186"/>
      <c r="KKN1" s="186"/>
      <c r="KKO1" s="186"/>
      <c r="KKP1" s="186"/>
      <c r="KKQ1" s="186"/>
      <c r="KKR1" s="186"/>
      <c r="KKS1" s="186"/>
      <c r="KKT1" s="186"/>
      <c r="KKU1" s="186"/>
      <c r="KKV1" s="186"/>
      <c r="KKW1" s="186"/>
      <c r="KKX1" s="186"/>
      <c r="KKY1" s="186"/>
      <c r="KKZ1" s="186"/>
      <c r="KLA1" s="186"/>
      <c r="KLB1" s="186"/>
      <c r="KLC1" s="186"/>
      <c r="KLD1" s="186"/>
      <c r="KLE1" s="186"/>
      <c r="KLF1" s="186"/>
      <c r="KLG1" s="186"/>
      <c r="KLH1" s="186"/>
      <c r="KLI1" s="186"/>
      <c r="KLJ1" s="186"/>
      <c r="KLK1" s="186"/>
      <c r="KLL1" s="186"/>
      <c r="KLM1" s="186"/>
      <c r="KLN1" s="186"/>
      <c r="KLO1" s="186"/>
      <c r="KLP1" s="186"/>
      <c r="KLQ1" s="186"/>
      <c r="KLR1" s="186"/>
      <c r="KLS1" s="186"/>
      <c r="KLT1" s="186"/>
      <c r="KLU1" s="186"/>
      <c r="KLV1" s="186"/>
      <c r="KLW1" s="186"/>
      <c r="KLX1" s="186"/>
      <c r="KLY1" s="186"/>
      <c r="KLZ1" s="186"/>
      <c r="KMA1" s="186"/>
      <c r="KMB1" s="186"/>
      <c r="KMC1" s="186"/>
      <c r="KMD1" s="186"/>
      <c r="KME1" s="186"/>
      <c r="KMF1" s="186"/>
      <c r="KMG1" s="186"/>
      <c r="KMH1" s="186"/>
      <c r="KMI1" s="186"/>
      <c r="KMJ1" s="186"/>
      <c r="KMK1" s="186"/>
      <c r="KML1" s="186"/>
      <c r="KMM1" s="186"/>
      <c r="KMN1" s="186"/>
      <c r="KMO1" s="186"/>
      <c r="KMP1" s="186"/>
      <c r="KMQ1" s="186"/>
      <c r="KMR1" s="186"/>
      <c r="KMS1" s="186"/>
      <c r="KMT1" s="186"/>
      <c r="KMU1" s="186"/>
      <c r="KMV1" s="186"/>
      <c r="KMW1" s="186"/>
      <c r="KMX1" s="186"/>
      <c r="KMY1" s="186"/>
      <c r="KMZ1" s="186"/>
      <c r="KNA1" s="186"/>
      <c r="KNB1" s="186"/>
      <c r="KNC1" s="186"/>
      <c r="KND1" s="186"/>
      <c r="KNE1" s="186"/>
      <c r="KNF1" s="186"/>
      <c r="KNG1" s="186"/>
      <c r="KNH1" s="186"/>
      <c r="KNI1" s="186"/>
      <c r="KNJ1" s="186"/>
      <c r="KNK1" s="186"/>
      <c r="KNL1" s="186"/>
      <c r="KNM1" s="186"/>
      <c r="KNN1" s="186"/>
      <c r="KNO1" s="186"/>
      <c r="KNP1" s="186"/>
      <c r="KNQ1" s="186"/>
      <c r="KNR1" s="186"/>
      <c r="KNS1" s="186"/>
      <c r="KNT1" s="186"/>
      <c r="KNU1" s="186"/>
      <c r="KNV1" s="186"/>
      <c r="KNW1" s="186"/>
      <c r="KNX1" s="186"/>
      <c r="KNY1" s="186"/>
      <c r="KNZ1" s="186"/>
      <c r="KOA1" s="186"/>
      <c r="KOB1" s="186"/>
      <c r="KOC1" s="186"/>
      <c r="KOD1" s="186"/>
      <c r="KOE1" s="186"/>
      <c r="KOF1" s="186"/>
      <c r="KOG1" s="186"/>
      <c r="KOH1" s="186"/>
      <c r="KOI1" s="186"/>
      <c r="KOJ1" s="186"/>
      <c r="KOK1" s="186"/>
      <c r="KOL1" s="186"/>
      <c r="KOM1" s="186"/>
      <c r="KON1" s="186"/>
      <c r="KOO1" s="186"/>
      <c r="KOP1" s="186"/>
      <c r="KOQ1" s="186"/>
      <c r="KOR1" s="186"/>
      <c r="KOS1" s="186"/>
      <c r="KOT1" s="186"/>
      <c r="KOU1" s="186"/>
      <c r="KOV1" s="186"/>
      <c r="KOW1" s="186"/>
      <c r="KOX1" s="186"/>
      <c r="KOY1" s="186"/>
      <c r="KOZ1" s="186"/>
      <c r="KPA1" s="186"/>
      <c r="KPB1" s="186"/>
      <c r="KPC1" s="186"/>
      <c r="KPD1" s="186"/>
      <c r="KPE1" s="186"/>
      <c r="KPF1" s="186"/>
      <c r="KPG1" s="186"/>
      <c r="KPH1" s="186"/>
      <c r="KPI1" s="186"/>
      <c r="KPJ1" s="186"/>
      <c r="KPK1" s="186"/>
      <c r="KPL1" s="186"/>
      <c r="KPM1" s="186"/>
      <c r="KPN1" s="186"/>
      <c r="KPO1" s="186"/>
      <c r="KPP1" s="186"/>
      <c r="KPQ1" s="186"/>
      <c r="KPR1" s="186"/>
      <c r="KPS1" s="186"/>
      <c r="KPT1" s="186"/>
      <c r="KPU1" s="186"/>
      <c r="KPV1" s="186"/>
      <c r="KPW1" s="186"/>
      <c r="KPX1" s="186"/>
      <c r="KPY1" s="186"/>
      <c r="KPZ1" s="186"/>
      <c r="KQA1" s="186"/>
      <c r="KQB1" s="186"/>
      <c r="KQC1" s="186"/>
      <c r="KQD1" s="186"/>
      <c r="KQE1" s="186"/>
      <c r="KQF1" s="186"/>
      <c r="KQG1" s="186"/>
      <c r="KQH1" s="186"/>
      <c r="KQI1" s="186"/>
      <c r="KQJ1" s="186"/>
      <c r="KQK1" s="186"/>
      <c r="KQL1" s="186"/>
      <c r="KQM1" s="186"/>
      <c r="KQN1" s="186"/>
      <c r="KQO1" s="186"/>
      <c r="KQP1" s="186"/>
      <c r="KQQ1" s="186"/>
      <c r="KQR1" s="186"/>
      <c r="KQS1" s="186"/>
      <c r="KQT1" s="186"/>
      <c r="KQU1" s="186"/>
      <c r="KQV1" s="186"/>
      <c r="KQW1" s="186"/>
      <c r="KQX1" s="186"/>
      <c r="KQY1" s="186"/>
      <c r="KQZ1" s="186"/>
      <c r="KRA1" s="186"/>
      <c r="KRB1" s="186"/>
      <c r="KRC1" s="186"/>
      <c r="KRD1" s="186"/>
      <c r="KRE1" s="186"/>
      <c r="KRF1" s="186"/>
      <c r="KRG1" s="186"/>
      <c r="KRH1" s="186"/>
      <c r="KRI1" s="186"/>
      <c r="KRJ1" s="186"/>
      <c r="KRK1" s="186"/>
      <c r="KRL1" s="186"/>
      <c r="KRM1" s="186"/>
      <c r="KRN1" s="186"/>
      <c r="KRO1" s="186"/>
      <c r="KRP1" s="186"/>
      <c r="KRQ1" s="186"/>
      <c r="KRR1" s="186"/>
      <c r="KRS1" s="186"/>
      <c r="KRT1" s="186"/>
      <c r="KRU1" s="186"/>
      <c r="KRV1" s="186"/>
      <c r="KRW1" s="186"/>
      <c r="KRX1" s="186"/>
      <c r="KRY1" s="186"/>
      <c r="KRZ1" s="186"/>
      <c r="KSA1" s="186"/>
      <c r="KSB1" s="186"/>
      <c r="KSC1" s="186"/>
      <c r="KSD1" s="186"/>
      <c r="KSE1" s="186"/>
      <c r="KSF1" s="186"/>
      <c r="KSG1" s="186"/>
      <c r="KSH1" s="186"/>
      <c r="KSI1" s="186"/>
      <c r="KSJ1" s="186"/>
      <c r="KSK1" s="186"/>
      <c r="KSL1" s="186"/>
      <c r="KSM1" s="186"/>
      <c r="KSN1" s="186"/>
      <c r="KSO1" s="186"/>
      <c r="KSP1" s="186"/>
      <c r="KSQ1" s="186"/>
      <c r="KSR1" s="186"/>
      <c r="KSS1" s="186"/>
      <c r="KST1" s="186"/>
      <c r="KSU1" s="186"/>
      <c r="KSV1" s="186"/>
      <c r="KSW1" s="186"/>
      <c r="KSX1" s="186"/>
      <c r="KSY1" s="186"/>
      <c r="KSZ1" s="186"/>
      <c r="KTA1" s="186"/>
      <c r="KTB1" s="186"/>
      <c r="KTC1" s="186"/>
      <c r="KTD1" s="186"/>
      <c r="KTE1" s="186"/>
      <c r="KTF1" s="186"/>
      <c r="KTG1" s="186"/>
      <c r="KTH1" s="186"/>
      <c r="KTI1" s="186"/>
      <c r="KTJ1" s="186"/>
      <c r="KTK1" s="186"/>
      <c r="KTL1" s="186"/>
      <c r="KTM1" s="186"/>
      <c r="KTN1" s="186"/>
      <c r="KTO1" s="186"/>
      <c r="KTP1" s="186"/>
      <c r="KTQ1" s="186"/>
      <c r="KTR1" s="186"/>
      <c r="KTS1" s="186"/>
      <c r="KTT1" s="186"/>
      <c r="KTU1" s="186"/>
      <c r="KTV1" s="186"/>
      <c r="KTW1" s="186"/>
      <c r="KTX1" s="186"/>
      <c r="KTY1" s="186"/>
      <c r="KTZ1" s="186"/>
      <c r="KUA1" s="186"/>
      <c r="KUB1" s="186"/>
      <c r="KUC1" s="186"/>
      <c r="KUD1" s="186"/>
      <c r="KUE1" s="186"/>
      <c r="KUF1" s="186"/>
      <c r="KUG1" s="186"/>
      <c r="KUH1" s="186"/>
      <c r="KUI1" s="186"/>
      <c r="KUJ1" s="186"/>
      <c r="KUK1" s="186"/>
      <c r="KUL1" s="186"/>
      <c r="KUM1" s="186"/>
      <c r="KUN1" s="186"/>
      <c r="KUO1" s="186"/>
      <c r="KUP1" s="186"/>
      <c r="KUQ1" s="186"/>
      <c r="KUR1" s="186"/>
      <c r="KUS1" s="186"/>
      <c r="KUT1" s="186"/>
      <c r="KUU1" s="186"/>
      <c r="KUV1" s="186"/>
      <c r="KUW1" s="186"/>
      <c r="KUX1" s="186"/>
      <c r="KUY1" s="186"/>
      <c r="KUZ1" s="186"/>
      <c r="KVA1" s="186"/>
      <c r="KVB1" s="186"/>
      <c r="KVC1" s="186"/>
      <c r="KVD1" s="186"/>
      <c r="KVE1" s="186"/>
      <c r="KVF1" s="186"/>
      <c r="KVG1" s="186"/>
      <c r="KVH1" s="186"/>
      <c r="KVI1" s="186"/>
      <c r="KVJ1" s="186"/>
      <c r="KVK1" s="186"/>
      <c r="KVL1" s="186"/>
      <c r="KVM1" s="186"/>
      <c r="KVN1" s="186"/>
      <c r="KVO1" s="186"/>
      <c r="KVP1" s="186"/>
      <c r="KVQ1" s="186"/>
      <c r="KVR1" s="186"/>
      <c r="KVS1" s="186"/>
      <c r="KVT1" s="186"/>
      <c r="KVU1" s="186"/>
      <c r="KVV1" s="186"/>
      <c r="KVW1" s="186"/>
      <c r="KVX1" s="186"/>
      <c r="KVY1" s="186"/>
      <c r="KVZ1" s="186"/>
      <c r="KWA1" s="186"/>
      <c r="KWB1" s="186"/>
      <c r="KWC1" s="186"/>
      <c r="KWD1" s="186"/>
      <c r="KWE1" s="186"/>
      <c r="KWF1" s="186"/>
      <c r="KWG1" s="186"/>
      <c r="KWH1" s="186"/>
      <c r="KWI1" s="186"/>
      <c r="KWJ1" s="186"/>
      <c r="KWK1" s="186"/>
      <c r="KWL1" s="186"/>
      <c r="KWM1" s="186"/>
      <c r="KWN1" s="186"/>
      <c r="KWO1" s="186"/>
      <c r="KWP1" s="186"/>
      <c r="KWQ1" s="186"/>
      <c r="KWR1" s="186"/>
      <c r="KWS1" s="186"/>
      <c r="KWT1" s="186"/>
      <c r="KWU1" s="186"/>
      <c r="KWV1" s="186"/>
      <c r="KWW1" s="186"/>
      <c r="KWX1" s="186"/>
      <c r="KWY1" s="186"/>
      <c r="KWZ1" s="186"/>
      <c r="KXA1" s="186"/>
      <c r="KXB1" s="186"/>
      <c r="KXC1" s="186"/>
      <c r="KXD1" s="186"/>
      <c r="KXE1" s="186"/>
      <c r="KXF1" s="186"/>
      <c r="KXG1" s="186"/>
      <c r="KXH1" s="186"/>
      <c r="KXI1" s="186"/>
      <c r="KXJ1" s="186"/>
      <c r="KXK1" s="186"/>
      <c r="KXL1" s="186"/>
      <c r="KXM1" s="186"/>
      <c r="KXN1" s="186"/>
      <c r="KXO1" s="186"/>
      <c r="KXP1" s="186"/>
      <c r="KXQ1" s="186"/>
      <c r="KXR1" s="186"/>
      <c r="KXS1" s="186"/>
      <c r="KXT1" s="186"/>
      <c r="KXU1" s="186"/>
      <c r="KXV1" s="186"/>
      <c r="KXW1" s="186"/>
      <c r="KXX1" s="186"/>
      <c r="KXY1" s="186"/>
      <c r="KXZ1" s="186"/>
      <c r="KYA1" s="186"/>
      <c r="KYB1" s="186"/>
      <c r="KYC1" s="186"/>
      <c r="KYD1" s="186"/>
      <c r="KYE1" s="186"/>
      <c r="KYF1" s="186"/>
      <c r="KYG1" s="186"/>
      <c r="KYH1" s="186"/>
      <c r="KYI1" s="186"/>
      <c r="KYJ1" s="186"/>
      <c r="KYK1" s="186"/>
      <c r="KYL1" s="186"/>
      <c r="KYM1" s="186"/>
      <c r="KYN1" s="186"/>
      <c r="KYO1" s="186"/>
      <c r="KYP1" s="186"/>
      <c r="KYQ1" s="186"/>
      <c r="KYR1" s="186"/>
      <c r="KYS1" s="186"/>
      <c r="KYT1" s="186"/>
      <c r="KYU1" s="186"/>
      <c r="KYV1" s="186"/>
      <c r="KYW1" s="186"/>
      <c r="KYX1" s="186"/>
      <c r="KYY1" s="186"/>
      <c r="KYZ1" s="186"/>
      <c r="KZA1" s="186"/>
      <c r="KZB1" s="186"/>
      <c r="KZC1" s="186"/>
      <c r="KZD1" s="186"/>
      <c r="KZE1" s="186"/>
      <c r="KZF1" s="186"/>
      <c r="KZG1" s="186"/>
      <c r="KZH1" s="186"/>
      <c r="KZI1" s="186"/>
      <c r="KZJ1" s="186"/>
      <c r="KZK1" s="186"/>
      <c r="KZL1" s="186"/>
      <c r="KZM1" s="186"/>
      <c r="KZN1" s="186"/>
      <c r="KZO1" s="186"/>
      <c r="KZP1" s="186"/>
      <c r="KZQ1" s="186"/>
      <c r="KZR1" s="186"/>
      <c r="KZS1" s="186"/>
      <c r="KZT1" s="186"/>
      <c r="KZU1" s="186"/>
      <c r="KZV1" s="186"/>
      <c r="KZW1" s="186"/>
      <c r="KZX1" s="186"/>
      <c r="KZY1" s="186"/>
      <c r="KZZ1" s="186"/>
      <c r="LAA1" s="186"/>
      <c r="LAB1" s="186"/>
      <c r="LAC1" s="186"/>
      <c r="LAD1" s="186"/>
      <c r="LAE1" s="186"/>
      <c r="LAF1" s="186"/>
      <c r="LAG1" s="186"/>
      <c r="LAH1" s="186"/>
      <c r="LAI1" s="186"/>
      <c r="LAJ1" s="186"/>
      <c r="LAK1" s="186"/>
      <c r="LAL1" s="186"/>
      <c r="LAM1" s="186"/>
      <c r="LAN1" s="186"/>
      <c r="LAO1" s="186"/>
      <c r="LAP1" s="186"/>
      <c r="LAQ1" s="186"/>
      <c r="LAR1" s="186"/>
      <c r="LAS1" s="186"/>
      <c r="LAT1" s="186"/>
      <c r="LAU1" s="186"/>
      <c r="LAV1" s="186"/>
      <c r="LAW1" s="186"/>
      <c r="LAX1" s="186"/>
      <c r="LAY1" s="186"/>
      <c r="LAZ1" s="186"/>
      <c r="LBA1" s="186"/>
      <c r="LBB1" s="186"/>
      <c r="LBC1" s="186"/>
      <c r="LBD1" s="186"/>
      <c r="LBE1" s="186"/>
      <c r="LBF1" s="186"/>
      <c r="LBG1" s="186"/>
      <c r="LBH1" s="186"/>
      <c r="LBI1" s="186"/>
      <c r="LBJ1" s="186"/>
      <c r="LBK1" s="186"/>
      <c r="LBL1" s="186"/>
      <c r="LBM1" s="186"/>
      <c r="LBN1" s="186"/>
      <c r="LBO1" s="186"/>
      <c r="LBP1" s="186"/>
      <c r="LBQ1" s="186"/>
      <c r="LBR1" s="186"/>
      <c r="LBS1" s="186"/>
      <c r="LBT1" s="186"/>
      <c r="LBU1" s="186"/>
      <c r="LBV1" s="186"/>
      <c r="LBW1" s="186"/>
      <c r="LBX1" s="186"/>
      <c r="LBY1" s="186"/>
      <c r="LBZ1" s="186"/>
      <c r="LCA1" s="186"/>
      <c r="LCB1" s="186"/>
      <c r="LCC1" s="186"/>
      <c r="LCD1" s="186"/>
      <c r="LCE1" s="186"/>
      <c r="LCF1" s="186"/>
      <c r="LCG1" s="186"/>
      <c r="LCH1" s="186"/>
      <c r="LCI1" s="186"/>
      <c r="LCJ1" s="186"/>
      <c r="LCK1" s="186"/>
      <c r="LCL1" s="186"/>
      <c r="LCM1" s="186"/>
      <c r="LCN1" s="186"/>
      <c r="LCO1" s="186"/>
      <c r="LCP1" s="186"/>
      <c r="LCQ1" s="186"/>
      <c r="LCR1" s="186"/>
      <c r="LCS1" s="186"/>
      <c r="LCT1" s="186"/>
      <c r="LCU1" s="186"/>
      <c r="LCV1" s="186"/>
      <c r="LCW1" s="186"/>
      <c r="LCX1" s="186"/>
      <c r="LCY1" s="186"/>
      <c r="LCZ1" s="186"/>
      <c r="LDA1" s="186"/>
      <c r="LDB1" s="186"/>
      <c r="LDC1" s="186"/>
      <c r="LDD1" s="186"/>
      <c r="LDE1" s="186"/>
      <c r="LDF1" s="186"/>
      <c r="LDG1" s="186"/>
      <c r="LDH1" s="186"/>
      <c r="LDI1" s="186"/>
      <c r="LDJ1" s="186"/>
      <c r="LDK1" s="186"/>
      <c r="LDL1" s="186"/>
      <c r="LDM1" s="186"/>
      <c r="LDN1" s="186"/>
      <c r="LDO1" s="186"/>
      <c r="LDP1" s="186"/>
      <c r="LDQ1" s="186"/>
      <c r="LDR1" s="186"/>
      <c r="LDS1" s="186"/>
      <c r="LDT1" s="186"/>
      <c r="LDU1" s="186"/>
      <c r="LDV1" s="186"/>
      <c r="LDW1" s="186"/>
      <c r="LDX1" s="186"/>
      <c r="LDY1" s="186"/>
      <c r="LDZ1" s="186"/>
      <c r="LEA1" s="186"/>
      <c r="LEB1" s="186"/>
      <c r="LEC1" s="186"/>
      <c r="LED1" s="186"/>
      <c r="LEE1" s="186"/>
      <c r="LEF1" s="186"/>
      <c r="LEG1" s="186"/>
      <c r="LEH1" s="186"/>
      <c r="LEI1" s="186"/>
      <c r="LEJ1" s="186"/>
      <c r="LEK1" s="186"/>
      <c r="LEL1" s="186"/>
      <c r="LEM1" s="186"/>
      <c r="LEN1" s="186"/>
      <c r="LEO1" s="186"/>
      <c r="LEP1" s="186"/>
      <c r="LEQ1" s="186"/>
      <c r="LER1" s="186"/>
      <c r="LES1" s="186"/>
      <c r="LET1" s="186"/>
      <c r="LEU1" s="186"/>
      <c r="LEV1" s="186"/>
      <c r="LEW1" s="186"/>
      <c r="LEX1" s="186"/>
      <c r="LEY1" s="186"/>
      <c r="LEZ1" s="186"/>
      <c r="LFA1" s="186"/>
      <c r="LFB1" s="186"/>
      <c r="LFC1" s="186"/>
      <c r="LFD1" s="186"/>
      <c r="LFE1" s="186"/>
      <c r="LFF1" s="186"/>
      <c r="LFG1" s="186"/>
      <c r="LFH1" s="186"/>
      <c r="LFI1" s="186"/>
      <c r="LFJ1" s="186"/>
      <c r="LFK1" s="186"/>
      <c r="LFL1" s="186"/>
      <c r="LFM1" s="186"/>
      <c r="LFN1" s="186"/>
      <c r="LFO1" s="186"/>
      <c r="LFP1" s="186"/>
      <c r="LFQ1" s="186"/>
      <c r="LFR1" s="186"/>
      <c r="LFS1" s="186"/>
      <c r="LFT1" s="186"/>
      <c r="LFU1" s="186"/>
      <c r="LFV1" s="186"/>
      <c r="LFW1" s="186"/>
      <c r="LFX1" s="186"/>
      <c r="LFY1" s="186"/>
      <c r="LFZ1" s="186"/>
      <c r="LGA1" s="186"/>
      <c r="LGB1" s="186"/>
      <c r="LGC1" s="186"/>
      <c r="LGD1" s="186"/>
      <c r="LGE1" s="186"/>
      <c r="LGF1" s="186"/>
      <c r="LGG1" s="186"/>
      <c r="LGH1" s="186"/>
      <c r="LGI1" s="186"/>
      <c r="LGJ1" s="186"/>
      <c r="LGK1" s="186"/>
      <c r="LGL1" s="186"/>
      <c r="LGM1" s="186"/>
      <c r="LGN1" s="186"/>
      <c r="LGO1" s="186"/>
      <c r="LGP1" s="186"/>
      <c r="LGQ1" s="186"/>
      <c r="LGR1" s="186"/>
      <c r="LGS1" s="186"/>
      <c r="LGT1" s="186"/>
      <c r="LGU1" s="186"/>
      <c r="LGV1" s="186"/>
      <c r="LGW1" s="186"/>
      <c r="LGX1" s="186"/>
      <c r="LGY1" s="186"/>
      <c r="LGZ1" s="186"/>
      <c r="LHA1" s="186"/>
      <c r="LHB1" s="186"/>
      <c r="LHC1" s="186"/>
      <c r="LHD1" s="186"/>
      <c r="LHE1" s="186"/>
      <c r="LHF1" s="186"/>
      <c r="LHG1" s="186"/>
      <c r="LHH1" s="186"/>
      <c r="LHI1" s="186"/>
      <c r="LHJ1" s="186"/>
      <c r="LHK1" s="186"/>
      <c r="LHL1" s="186"/>
      <c r="LHM1" s="186"/>
      <c r="LHN1" s="186"/>
      <c r="LHO1" s="186"/>
      <c r="LHP1" s="186"/>
      <c r="LHQ1" s="186"/>
      <c r="LHR1" s="186"/>
      <c r="LHS1" s="186"/>
      <c r="LHT1" s="186"/>
      <c r="LHU1" s="186"/>
      <c r="LHV1" s="186"/>
      <c r="LHW1" s="186"/>
      <c r="LHX1" s="186"/>
      <c r="LHY1" s="186"/>
      <c r="LHZ1" s="186"/>
      <c r="LIA1" s="186"/>
      <c r="LIB1" s="186"/>
      <c r="LIC1" s="186"/>
      <c r="LID1" s="186"/>
      <c r="LIE1" s="186"/>
      <c r="LIF1" s="186"/>
      <c r="LIG1" s="186"/>
      <c r="LIH1" s="186"/>
      <c r="LII1" s="186"/>
      <c r="LIJ1" s="186"/>
      <c r="LIK1" s="186"/>
      <c r="LIL1" s="186"/>
      <c r="LIM1" s="186"/>
      <c r="LIN1" s="186"/>
      <c r="LIO1" s="186"/>
      <c r="LIP1" s="186"/>
      <c r="LIQ1" s="186"/>
      <c r="LIR1" s="186"/>
      <c r="LIS1" s="186"/>
      <c r="LIT1" s="186"/>
      <c r="LIU1" s="186"/>
      <c r="LIV1" s="186"/>
      <c r="LIW1" s="186"/>
      <c r="LIX1" s="186"/>
      <c r="LIY1" s="186"/>
      <c r="LIZ1" s="186"/>
      <c r="LJA1" s="186"/>
      <c r="LJB1" s="186"/>
      <c r="LJC1" s="186"/>
      <c r="LJD1" s="186"/>
      <c r="LJE1" s="186"/>
      <c r="LJF1" s="186"/>
      <c r="LJG1" s="186"/>
      <c r="LJH1" s="186"/>
      <c r="LJI1" s="186"/>
      <c r="LJJ1" s="186"/>
      <c r="LJK1" s="186"/>
      <c r="LJL1" s="186"/>
      <c r="LJM1" s="186"/>
      <c r="LJN1" s="186"/>
      <c r="LJO1" s="186"/>
      <c r="LJP1" s="186"/>
      <c r="LJQ1" s="186"/>
      <c r="LJR1" s="186"/>
      <c r="LJS1" s="186"/>
      <c r="LJT1" s="186"/>
      <c r="LJU1" s="186"/>
      <c r="LJV1" s="186"/>
      <c r="LJW1" s="186"/>
      <c r="LJX1" s="186"/>
      <c r="LJY1" s="186"/>
      <c r="LJZ1" s="186"/>
      <c r="LKA1" s="186"/>
      <c r="LKB1" s="186"/>
      <c r="LKC1" s="186"/>
      <c r="LKD1" s="186"/>
      <c r="LKE1" s="186"/>
      <c r="LKF1" s="186"/>
      <c r="LKG1" s="186"/>
      <c r="LKH1" s="186"/>
      <c r="LKI1" s="186"/>
      <c r="LKJ1" s="186"/>
      <c r="LKK1" s="186"/>
      <c r="LKL1" s="186"/>
      <c r="LKM1" s="186"/>
      <c r="LKN1" s="186"/>
      <c r="LKO1" s="186"/>
      <c r="LKP1" s="186"/>
      <c r="LKQ1" s="186"/>
      <c r="LKR1" s="186"/>
      <c r="LKS1" s="186"/>
      <c r="LKT1" s="186"/>
      <c r="LKU1" s="186"/>
      <c r="LKV1" s="186"/>
      <c r="LKW1" s="186"/>
      <c r="LKX1" s="186"/>
      <c r="LKY1" s="186"/>
      <c r="LKZ1" s="186"/>
      <c r="LLA1" s="186"/>
      <c r="LLB1" s="186"/>
      <c r="LLC1" s="186"/>
      <c r="LLD1" s="186"/>
      <c r="LLE1" s="186"/>
      <c r="LLF1" s="186"/>
      <c r="LLG1" s="186"/>
      <c r="LLH1" s="186"/>
      <c r="LLI1" s="186"/>
      <c r="LLJ1" s="186"/>
      <c r="LLK1" s="186"/>
      <c r="LLL1" s="186"/>
      <c r="LLM1" s="186"/>
      <c r="LLN1" s="186"/>
      <c r="LLO1" s="186"/>
      <c r="LLP1" s="186"/>
      <c r="LLQ1" s="186"/>
      <c r="LLR1" s="186"/>
      <c r="LLS1" s="186"/>
      <c r="LLT1" s="186"/>
      <c r="LLU1" s="186"/>
      <c r="LLV1" s="186"/>
      <c r="LLW1" s="186"/>
      <c r="LLX1" s="186"/>
      <c r="LLY1" s="186"/>
      <c r="LLZ1" s="186"/>
      <c r="LMA1" s="186"/>
      <c r="LMB1" s="186"/>
      <c r="LMC1" s="186"/>
      <c r="LMD1" s="186"/>
      <c r="LME1" s="186"/>
      <c r="LMF1" s="186"/>
      <c r="LMG1" s="186"/>
      <c r="LMH1" s="186"/>
      <c r="LMI1" s="186"/>
      <c r="LMJ1" s="186"/>
      <c r="LMK1" s="186"/>
      <c r="LML1" s="186"/>
      <c r="LMM1" s="186"/>
      <c r="LMN1" s="186"/>
      <c r="LMO1" s="186"/>
      <c r="LMP1" s="186"/>
      <c r="LMQ1" s="186"/>
      <c r="LMR1" s="186"/>
      <c r="LMS1" s="186"/>
      <c r="LMT1" s="186"/>
      <c r="LMU1" s="186"/>
      <c r="LMV1" s="186"/>
      <c r="LMW1" s="186"/>
      <c r="LMX1" s="186"/>
      <c r="LMY1" s="186"/>
      <c r="LMZ1" s="186"/>
      <c r="LNA1" s="186"/>
      <c r="LNB1" s="186"/>
      <c r="LNC1" s="186"/>
      <c r="LND1" s="186"/>
      <c r="LNE1" s="186"/>
      <c r="LNF1" s="186"/>
      <c r="LNG1" s="186"/>
      <c r="LNH1" s="186"/>
      <c r="LNI1" s="186"/>
      <c r="LNJ1" s="186"/>
      <c r="LNK1" s="186"/>
      <c r="LNL1" s="186"/>
      <c r="LNM1" s="186"/>
      <c r="LNN1" s="186"/>
      <c r="LNO1" s="186"/>
      <c r="LNP1" s="186"/>
      <c r="LNQ1" s="186"/>
      <c r="LNR1" s="186"/>
      <c r="LNS1" s="186"/>
      <c r="LNT1" s="186"/>
      <c r="LNU1" s="186"/>
      <c r="LNV1" s="186"/>
      <c r="LNW1" s="186"/>
      <c r="LNX1" s="186"/>
      <c r="LNY1" s="186"/>
      <c r="LNZ1" s="186"/>
      <c r="LOA1" s="186"/>
      <c r="LOB1" s="186"/>
      <c r="LOC1" s="186"/>
      <c r="LOD1" s="186"/>
      <c r="LOE1" s="186"/>
      <c r="LOF1" s="186"/>
      <c r="LOG1" s="186"/>
      <c r="LOH1" s="186"/>
      <c r="LOI1" s="186"/>
      <c r="LOJ1" s="186"/>
      <c r="LOK1" s="186"/>
      <c r="LOL1" s="186"/>
      <c r="LOM1" s="186"/>
      <c r="LON1" s="186"/>
      <c r="LOO1" s="186"/>
      <c r="LOP1" s="186"/>
      <c r="LOQ1" s="186"/>
      <c r="LOR1" s="186"/>
      <c r="LOS1" s="186"/>
      <c r="LOT1" s="186"/>
      <c r="LOU1" s="186"/>
      <c r="LOV1" s="186"/>
      <c r="LOW1" s="186"/>
      <c r="LOX1" s="186"/>
      <c r="LOY1" s="186"/>
      <c r="LOZ1" s="186"/>
      <c r="LPA1" s="186"/>
      <c r="LPB1" s="186"/>
      <c r="LPC1" s="186"/>
      <c r="LPD1" s="186"/>
      <c r="LPE1" s="186"/>
      <c r="LPF1" s="186"/>
      <c r="LPG1" s="186"/>
      <c r="LPH1" s="186"/>
      <c r="LPI1" s="186"/>
      <c r="LPJ1" s="186"/>
      <c r="LPK1" s="186"/>
      <c r="LPL1" s="186"/>
      <c r="LPM1" s="186"/>
      <c r="LPN1" s="186"/>
      <c r="LPO1" s="186"/>
      <c r="LPP1" s="186"/>
      <c r="LPQ1" s="186"/>
      <c r="LPR1" s="186"/>
      <c r="LPS1" s="186"/>
      <c r="LPT1" s="186"/>
      <c r="LPU1" s="186"/>
      <c r="LPV1" s="186"/>
      <c r="LPW1" s="186"/>
      <c r="LPX1" s="186"/>
      <c r="LPY1" s="186"/>
      <c r="LPZ1" s="186"/>
      <c r="LQA1" s="186"/>
      <c r="LQB1" s="186"/>
      <c r="LQC1" s="186"/>
      <c r="LQD1" s="186"/>
      <c r="LQE1" s="186"/>
      <c r="LQF1" s="186"/>
      <c r="LQG1" s="186"/>
      <c r="LQH1" s="186"/>
      <c r="LQI1" s="186"/>
      <c r="LQJ1" s="186"/>
      <c r="LQK1" s="186"/>
      <c r="LQL1" s="186"/>
      <c r="LQM1" s="186"/>
      <c r="LQN1" s="186"/>
      <c r="LQO1" s="186"/>
      <c r="LQP1" s="186"/>
      <c r="LQQ1" s="186"/>
      <c r="LQR1" s="186"/>
      <c r="LQS1" s="186"/>
      <c r="LQT1" s="186"/>
      <c r="LQU1" s="186"/>
      <c r="LQV1" s="186"/>
      <c r="LQW1" s="186"/>
      <c r="LQX1" s="186"/>
      <c r="LQY1" s="186"/>
      <c r="LQZ1" s="186"/>
      <c r="LRA1" s="186"/>
      <c r="LRB1" s="186"/>
      <c r="LRC1" s="186"/>
      <c r="LRD1" s="186"/>
      <c r="LRE1" s="186"/>
      <c r="LRF1" s="186"/>
      <c r="LRG1" s="186"/>
      <c r="LRH1" s="186"/>
      <c r="LRI1" s="186"/>
      <c r="LRJ1" s="186"/>
      <c r="LRK1" s="186"/>
      <c r="LRL1" s="186"/>
      <c r="LRM1" s="186"/>
      <c r="LRN1" s="186"/>
      <c r="LRO1" s="186"/>
      <c r="LRP1" s="186"/>
      <c r="LRQ1" s="186"/>
      <c r="LRR1" s="186"/>
      <c r="LRS1" s="186"/>
      <c r="LRT1" s="186"/>
      <c r="LRU1" s="186"/>
      <c r="LRV1" s="186"/>
      <c r="LRW1" s="186"/>
      <c r="LRX1" s="186"/>
      <c r="LRY1" s="186"/>
      <c r="LRZ1" s="186"/>
      <c r="LSA1" s="186"/>
      <c r="LSB1" s="186"/>
      <c r="LSC1" s="186"/>
      <c r="LSD1" s="186"/>
      <c r="LSE1" s="186"/>
      <c r="LSF1" s="186"/>
      <c r="LSG1" s="186"/>
      <c r="LSH1" s="186"/>
      <c r="LSI1" s="186"/>
      <c r="LSJ1" s="186"/>
      <c r="LSK1" s="186"/>
      <c r="LSL1" s="186"/>
      <c r="LSM1" s="186"/>
      <c r="LSN1" s="186"/>
      <c r="LSO1" s="186"/>
      <c r="LSP1" s="186"/>
      <c r="LSQ1" s="186"/>
      <c r="LSR1" s="186"/>
      <c r="LSS1" s="186"/>
      <c r="LST1" s="186"/>
      <c r="LSU1" s="186"/>
      <c r="LSV1" s="186"/>
      <c r="LSW1" s="186"/>
      <c r="LSX1" s="186"/>
      <c r="LSY1" s="186"/>
      <c r="LSZ1" s="186"/>
      <c r="LTA1" s="186"/>
      <c r="LTB1" s="186"/>
      <c r="LTC1" s="186"/>
      <c r="LTD1" s="186"/>
      <c r="LTE1" s="186"/>
      <c r="LTF1" s="186"/>
      <c r="LTG1" s="186"/>
      <c r="LTH1" s="186"/>
      <c r="LTI1" s="186"/>
      <c r="LTJ1" s="186"/>
      <c r="LTK1" s="186"/>
      <c r="LTL1" s="186"/>
      <c r="LTM1" s="186"/>
      <c r="LTN1" s="186"/>
      <c r="LTO1" s="186"/>
      <c r="LTP1" s="186"/>
      <c r="LTQ1" s="186"/>
      <c r="LTR1" s="186"/>
      <c r="LTS1" s="186"/>
      <c r="LTT1" s="186"/>
      <c r="LTU1" s="186"/>
      <c r="LTV1" s="186"/>
      <c r="LTW1" s="186"/>
      <c r="LTX1" s="186"/>
      <c r="LTY1" s="186"/>
      <c r="LTZ1" s="186"/>
      <c r="LUA1" s="186"/>
      <c r="LUB1" s="186"/>
      <c r="LUC1" s="186"/>
      <c r="LUD1" s="186"/>
      <c r="LUE1" s="186"/>
      <c r="LUF1" s="186"/>
      <c r="LUG1" s="186"/>
      <c r="LUH1" s="186"/>
      <c r="LUI1" s="186"/>
      <c r="LUJ1" s="186"/>
      <c r="LUK1" s="186"/>
      <c r="LUL1" s="186"/>
      <c r="LUM1" s="186"/>
      <c r="LUN1" s="186"/>
      <c r="LUO1" s="186"/>
      <c r="LUP1" s="186"/>
      <c r="LUQ1" s="186"/>
      <c r="LUR1" s="186"/>
      <c r="LUS1" s="186"/>
      <c r="LUT1" s="186"/>
      <c r="LUU1" s="186"/>
      <c r="LUV1" s="186"/>
      <c r="LUW1" s="186"/>
      <c r="LUX1" s="186"/>
      <c r="LUY1" s="186"/>
      <c r="LUZ1" s="186"/>
      <c r="LVA1" s="186"/>
      <c r="LVB1" s="186"/>
      <c r="LVC1" s="186"/>
      <c r="LVD1" s="186"/>
      <c r="LVE1" s="186"/>
      <c r="LVF1" s="186"/>
      <c r="LVG1" s="186"/>
      <c r="LVH1" s="186"/>
      <c r="LVI1" s="186"/>
      <c r="LVJ1" s="186"/>
      <c r="LVK1" s="186"/>
      <c r="LVL1" s="186"/>
      <c r="LVM1" s="186"/>
      <c r="LVN1" s="186"/>
      <c r="LVO1" s="186"/>
      <c r="LVP1" s="186"/>
      <c r="LVQ1" s="186"/>
      <c r="LVR1" s="186"/>
      <c r="LVS1" s="186"/>
      <c r="LVT1" s="186"/>
      <c r="LVU1" s="186"/>
      <c r="LVV1" s="186"/>
      <c r="LVW1" s="186"/>
      <c r="LVX1" s="186"/>
      <c r="LVY1" s="186"/>
      <c r="LVZ1" s="186"/>
      <c r="LWA1" s="186"/>
      <c r="LWB1" s="186"/>
      <c r="LWC1" s="186"/>
      <c r="LWD1" s="186"/>
      <c r="LWE1" s="186"/>
      <c r="LWF1" s="186"/>
      <c r="LWG1" s="186"/>
      <c r="LWH1" s="186"/>
      <c r="LWI1" s="186"/>
      <c r="LWJ1" s="186"/>
      <c r="LWK1" s="186"/>
      <c r="LWL1" s="186"/>
      <c r="LWM1" s="186"/>
      <c r="LWN1" s="186"/>
      <c r="LWO1" s="186"/>
      <c r="LWP1" s="186"/>
      <c r="LWQ1" s="186"/>
      <c r="LWR1" s="186"/>
      <c r="LWS1" s="186"/>
      <c r="LWT1" s="186"/>
      <c r="LWU1" s="186"/>
      <c r="LWV1" s="186"/>
      <c r="LWW1" s="186"/>
      <c r="LWX1" s="186"/>
      <c r="LWY1" s="186"/>
      <c r="LWZ1" s="186"/>
      <c r="LXA1" s="186"/>
      <c r="LXB1" s="186"/>
      <c r="LXC1" s="186"/>
      <c r="LXD1" s="186"/>
      <c r="LXE1" s="186"/>
      <c r="LXF1" s="186"/>
      <c r="LXG1" s="186"/>
      <c r="LXH1" s="186"/>
      <c r="LXI1" s="186"/>
      <c r="LXJ1" s="186"/>
      <c r="LXK1" s="186"/>
      <c r="LXL1" s="186"/>
      <c r="LXM1" s="186"/>
      <c r="LXN1" s="186"/>
      <c r="LXO1" s="186"/>
      <c r="LXP1" s="186"/>
      <c r="LXQ1" s="186"/>
      <c r="LXR1" s="186"/>
      <c r="LXS1" s="186"/>
      <c r="LXT1" s="186"/>
      <c r="LXU1" s="186"/>
      <c r="LXV1" s="186"/>
      <c r="LXW1" s="186"/>
      <c r="LXX1" s="186"/>
      <c r="LXY1" s="186"/>
      <c r="LXZ1" s="186"/>
      <c r="LYA1" s="186"/>
      <c r="LYB1" s="186"/>
      <c r="LYC1" s="186"/>
      <c r="LYD1" s="186"/>
      <c r="LYE1" s="186"/>
      <c r="LYF1" s="186"/>
      <c r="LYG1" s="186"/>
      <c r="LYH1" s="186"/>
      <c r="LYI1" s="186"/>
      <c r="LYJ1" s="186"/>
      <c r="LYK1" s="186"/>
      <c r="LYL1" s="186"/>
      <c r="LYM1" s="186"/>
      <c r="LYN1" s="186"/>
      <c r="LYO1" s="186"/>
      <c r="LYP1" s="186"/>
      <c r="LYQ1" s="186"/>
      <c r="LYR1" s="186"/>
      <c r="LYS1" s="186"/>
      <c r="LYT1" s="186"/>
      <c r="LYU1" s="186"/>
      <c r="LYV1" s="186"/>
      <c r="LYW1" s="186"/>
      <c r="LYX1" s="186"/>
      <c r="LYY1" s="186"/>
      <c r="LYZ1" s="186"/>
      <c r="LZA1" s="186"/>
      <c r="LZB1" s="186"/>
      <c r="LZC1" s="186"/>
      <c r="LZD1" s="186"/>
      <c r="LZE1" s="186"/>
      <c r="LZF1" s="186"/>
      <c r="LZG1" s="186"/>
      <c r="LZH1" s="186"/>
      <c r="LZI1" s="186"/>
      <c r="LZJ1" s="186"/>
      <c r="LZK1" s="186"/>
      <c r="LZL1" s="186"/>
      <c r="LZM1" s="186"/>
      <c r="LZN1" s="186"/>
      <c r="LZO1" s="186"/>
      <c r="LZP1" s="186"/>
      <c r="LZQ1" s="186"/>
      <c r="LZR1" s="186"/>
      <c r="LZS1" s="186"/>
      <c r="LZT1" s="186"/>
      <c r="LZU1" s="186"/>
      <c r="LZV1" s="186"/>
      <c r="LZW1" s="186"/>
      <c r="LZX1" s="186"/>
      <c r="LZY1" s="186"/>
      <c r="LZZ1" s="186"/>
      <c r="MAA1" s="186"/>
      <c r="MAB1" s="186"/>
      <c r="MAC1" s="186"/>
      <c r="MAD1" s="186"/>
      <c r="MAE1" s="186"/>
      <c r="MAF1" s="186"/>
      <c r="MAG1" s="186"/>
      <c r="MAH1" s="186"/>
      <c r="MAI1" s="186"/>
      <c r="MAJ1" s="186"/>
      <c r="MAK1" s="186"/>
      <c r="MAL1" s="186"/>
      <c r="MAM1" s="186"/>
      <c r="MAN1" s="186"/>
      <c r="MAO1" s="186"/>
      <c r="MAP1" s="186"/>
      <c r="MAQ1" s="186"/>
      <c r="MAR1" s="186"/>
      <c r="MAS1" s="186"/>
      <c r="MAT1" s="186"/>
      <c r="MAU1" s="186"/>
      <c r="MAV1" s="186"/>
      <c r="MAW1" s="186"/>
      <c r="MAX1" s="186"/>
      <c r="MAY1" s="186"/>
      <c r="MAZ1" s="186"/>
      <c r="MBA1" s="186"/>
      <c r="MBB1" s="186"/>
      <c r="MBC1" s="186"/>
      <c r="MBD1" s="186"/>
      <c r="MBE1" s="186"/>
      <c r="MBF1" s="186"/>
      <c r="MBG1" s="186"/>
      <c r="MBH1" s="186"/>
      <c r="MBI1" s="186"/>
      <c r="MBJ1" s="186"/>
      <c r="MBK1" s="186"/>
      <c r="MBL1" s="186"/>
      <c r="MBM1" s="186"/>
      <c r="MBN1" s="186"/>
      <c r="MBO1" s="186"/>
      <c r="MBP1" s="186"/>
      <c r="MBQ1" s="186"/>
      <c r="MBR1" s="186"/>
      <c r="MBS1" s="186"/>
      <c r="MBT1" s="186"/>
      <c r="MBU1" s="186"/>
      <c r="MBV1" s="186"/>
      <c r="MBW1" s="186"/>
      <c r="MBX1" s="186"/>
      <c r="MBY1" s="186"/>
      <c r="MBZ1" s="186"/>
      <c r="MCA1" s="186"/>
      <c r="MCB1" s="186"/>
      <c r="MCC1" s="186"/>
      <c r="MCD1" s="186"/>
      <c r="MCE1" s="186"/>
      <c r="MCF1" s="186"/>
      <c r="MCG1" s="186"/>
      <c r="MCH1" s="186"/>
      <c r="MCI1" s="186"/>
      <c r="MCJ1" s="186"/>
      <c r="MCK1" s="186"/>
      <c r="MCL1" s="186"/>
      <c r="MCM1" s="186"/>
      <c r="MCN1" s="186"/>
      <c r="MCO1" s="186"/>
      <c r="MCP1" s="186"/>
      <c r="MCQ1" s="186"/>
      <c r="MCR1" s="186"/>
      <c r="MCS1" s="186"/>
      <c r="MCT1" s="186"/>
      <c r="MCU1" s="186"/>
      <c r="MCV1" s="186"/>
      <c r="MCW1" s="186"/>
      <c r="MCX1" s="186"/>
      <c r="MCY1" s="186"/>
      <c r="MCZ1" s="186"/>
      <c r="MDA1" s="186"/>
      <c r="MDB1" s="186"/>
      <c r="MDC1" s="186"/>
      <c r="MDD1" s="186"/>
      <c r="MDE1" s="186"/>
      <c r="MDF1" s="186"/>
      <c r="MDG1" s="186"/>
      <c r="MDH1" s="186"/>
      <c r="MDI1" s="186"/>
      <c r="MDJ1" s="186"/>
      <c r="MDK1" s="186"/>
      <c r="MDL1" s="186"/>
      <c r="MDM1" s="186"/>
      <c r="MDN1" s="186"/>
      <c r="MDO1" s="186"/>
      <c r="MDP1" s="186"/>
      <c r="MDQ1" s="186"/>
      <c r="MDR1" s="186"/>
      <c r="MDS1" s="186"/>
      <c r="MDT1" s="186"/>
      <c r="MDU1" s="186"/>
      <c r="MDV1" s="186"/>
      <c r="MDW1" s="186"/>
      <c r="MDX1" s="186"/>
      <c r="MDY1" s="186"/>
      <c r="MDZ1" s="186"/>
      <c r="MEA1" s="186"/>
      <c r="MEB1" s="186"/>
      <c r="MEC1" s="186"/>
      <c r="MED1" s="186"/>
      <c r="MEE1" s="186"/>
      <c r="MEF1" s="186"/>
      <c r="MEG1" s="186"/>
      <c r="MEH1" s="186"/>
      <c r="MEI1" s="186"/>
      <c r="MEJ1" s="186"/>
      <c r="MEK1" s="186"/>
      <c r="MEL1" s="186"/>
      <c r="MEM1" s="186"/>
      <c r="MEN1" s="186"/>
      <c r="MEO1" s="186"/>
      <c r="MEP1" s="186"/>
      <c r="MEQ1" s="186"/>
      <c r="MER1" s="186"/>
      <c r="MES1" s="186"/>
      <c r="MET1" s="186"/>
      <c r="MEU1" s="186"/>
      <c r="MEV1" s="186"/>
      <c r="MEW1" s="186"/>
      <c r="MEX1" s="186"/>
      <c r="MEY1" s="186"/>
      <c r="MEZ1" s="186"/>
      <c r="MFA1" s="186"/>
      <c r="MFB1" s="186"/>
      <c r="MFC1" s="186"/>
      <c r="MFD1" s="186"/>
      <c r="MFE1" s="186"/>
      <c r="MFF1" s="186"/>
      <c r="MFG1" s="186"/>
      <c r="MFH1" s="186"/>
      <c r="MFI1" s="186"/>
      <c r="MFJ1" s="186"/>
      <c r="MFK1" s="186"/>
      <c r="MFL1" s="186"/>
      <c r="MFM1" s="186"/>
      <c r="MFN1" s="186"/>
      <c r="MFO1" s="186"/>
      <c r="MFP1" s="186"/>
      <c r="MFQ1" s="186"/>
      <c r="MFR1" s="186"/>
      <c r="MFS1" s="186"/>
      <c r="MFT1" s="186"/>
      <c r="MFU1" s="186"/>
      <c r="MFV1" s="186"/>
      <c r="MFW1" s="186"/>
      <c r="MFX1" s="186"/>
      <c r="MFY1" s="186"/>
      <c r="MFZ1" s="186"/>
      <c r="MGA1" s="186"/>
      <c r="MGB1" s="186"/>
      <c r="MGC1" s="186"/>
      <c r="MGD1" s="186"/>
      <c r="MGE1" s="186"/>
      <c r="MGF1" s="186"/>
      <c r="MGG1" s="186"/>
      <c r="MGH1" s="186"/>
      <c r="MGI1" s="186"/>
      <c r="MGJ1" s="186"/>
      <c r="MGK1" s="186"/>
      <c r="MGL1" s="186"/>
      <c r="MGM1" s="186"/>
      <c r="MGN1" s="186"/>
      <c r="MGO1" s="186"/>
      <c r="MGP1" s="186"/>
      <c r="MGQ1" s="186"/>
      <c r="MGR1" s="186"/>
      <c r="MGS1" s="186"/>
      <c r="MGT1" s="186"/>
      <c r="MGU1" s="186"/>
      <c r="MGV1" s="186"/>
      <c r="MGW1" s="186"/>
      <c r="MGX1" s="186"/>
      <c r="MGY1" s="186"/>
      <c r="MGZ1" s="186"/>
      <c r="MHA1" s="186"/>
      <c r="MHB1" s="186"/>
      <c r="MHC1" s="186"/>
      <c r="MHD1" s="186"/>
      <c r="MHE1" s="186"/>
      <c r="MHF1" s="186"/>
      <c r="MHG1" s="186"/>
      <c r="MHH1" s="186"/>
      <c r="MHI1" s="186"/>
      <c r="MHJ1" s="186"/>
      <c r="MHK1" s="186"/>
      <c r="MHL1" s="186"/>
      <c r="MHM1" s="186"/>
      <c r="MHN1" s="186"/>
      <c r="MHO1" s="186"/>
      <c r="MHP1" s="186"/>
      <c r="MHQ1" s="186"/>
      <c r="MHR1" s="186"/>
      <c r="MHS1" s="186"/>
      <c r="MHT1" s="186"/>
      <c r="MHU1" s="186"/>
      <c r="MHV1" s="186"/>
      <c r="MHW1" s="186"/>
      <c r="MHX1" s="186"/>
      <c r="MHY1" s="186"/>
      <c r="MHZ1" s="186"/>
      <c r="MIA1" s="186"/>
      <c r="MIB1" s="186"/>
      <c r="MIC1" s="186"/>
      <c r="MID1" s="186"/>
      <c r="MIE1" s="186"/>
      <c r="MIF1" s="186"/>
      <c r="MIG1" s="186"/>
      <c r="MIH1" s="186"/>
      <c r="MII1" s="186"/>
      <c r="MIJ1" s="186"/>
      <c r="MIK1" s="186"/>
      <c r="MIL1" s="186"/>
      <c r="MIM1" s="186"/>
      <c r="MIN1" s="186"/>
      <c r="MIO1" s="186"/>
      <c r="MIP1" s="186"/>
      <c r="MIQ1" s="186"/>
      <c r="MIR1" s="186"/>
      <c r="MIS1" s="186"/>
      <c r="MIT1" s="186"/>
      <c r="MIU1" s="186"/>
      <c r="MIV1" s="186"/>
      <c r="MIW1" s="186"/>
      <c r="MIX1" s="186"/>
      <c r="MIY1" s="186"/>
      <c r="MIZ1" s="186"/>
      <c r="MJA1" s="186"/>
      <c r="MJB1" s="186"/>
      <c r="MJC1" s="186"/>
      <c r="MJD1" s="186"/>
      <c r="MJE1" s="186"/>
      <c r="MJF1" s="186"/>
      <c r="MJG1" s="186"/>
      <c r="MJH1" s="186"/>
      <c r="MJI1" s="186"/>
      <c r="MJJ1" s="186"/>
      <c r="MJK1" s="186"/>
      <c r="MJL1" s="186"/>
      <c r="MJM1" s="186"/>
      <c r="MJN1" s="186"/>
      <c r="MJO1" s="186"/>
      <c r="MJP1" s="186"/>
      <c r="MJQ1" s="186"/>
      <c r="MJR1" s="186"/>
      <c r="MJS1" s="186"/>
      <c r="MJT1" s="186"/>
      <c r="MJU1" s="186"/>
      <c r="MJV1" s="186"/>
      <c r="MJW1" s="186"/>
      <c r="MJX1" s="186"/>
      <c r="MJY1" s="186"/>
      <c r="MJZ1" s="186"/>
      <c r="MKA1" s="186"/>
      <c r="MKB1" s="186"/>
      <c r="MKC1" s="186"/>
      <c r="MKD1" s="186"/>
      <c r="MKE1" s="186"/>
      <c r="MKF1" s="186"/>
      <c r="MKG1" s="186"/>
      <c r="MKH1" s="186"/>
      <c r="MKI1" s="186"/>
      <c r="MKJ1" s="186"/>
      <c r="MKK1" s="186"/>
      <c r="MKL1" s="186"/>
      <c r="MKM1" s="186"/>
      <c r="MKN1" s="186"/>
      <c r="MKO1" s="186"/>
      <c r="MKP1" s="186"/>
      <c r="MKQ1" s="186"/>
      <c r="MKR1" s="186"/>
      <c r="MKS1" s="186"/>
      <c r="MKT1" s="186"/>
      <c r="MKU1" s="186"/>
      <c r="MKV1" s="186"/>
      <c r="MKW1" s="186"/>
      <c r="MKX1" s="186"/>
      <c r="MKY1" s="186"/>
      <c r="MKZ1" s="186"/>
      <c r="MLA1" s="186"/>
      <c r="MLB1" s="186"/>
      <c r="MLC1" s="186"/>
      <c r="MLD1" s="186"/>
      <c r="MLE1" s="186"/>
      <c r="MLF1" s="186"/>
      <c r="MLG1" s="186"/>
      <c r="MLH1" s="186"/>
      <c r="MLI1" s="186"/>
      <c r="MLJ1" s="186"/>
      <c r="MLK1" s="186"/>
      <c r="MLL1" s="186"/>
      <c r="MLM1" s="186"/>
      <c r="MLN1" s="186"/>
      <c r="MLO1" s="186"/>
      <c r="MLP1" s="186"/>
      <c r="MLQ1" s="186"/>
      <c r="MLR1" s="186"/>
      <c r="MLS1" s="186"/>
      <c r="MLT1" s="186"/>
      <c r="MLU1" s="186"/>
      <c r="MLV1" s="186"/>
      <c r="MLW1" s="186"/>
      <c r="MLX1" s="186"/>
      <c r="MLY1" s="186"/>
      <c r="MLZ1" s="186"/>
      <c r="MMA1" s="186"/>
      <c r="MMB1" s="186"/>
      <c r="MMC1" s="186"/>
      <c r="MMD1" s="186"/>
      <c r="MME1" s="186"/>
      <c r="MMF1" s="186"/>
      <c r="MMG1" s="186"/>
      <c r="MMH1" s="186"/>
      <c r="MMI1" s="186"/>
      <c r="MMJ1" s="186"/>
      <c r="MMK1" s="186"/>
      <c r="MML1" s="186"/>
      <c r="MMM1" s="186"/>
      <c r="MMN1" s="186"/>
      <c r="MMO1" s="186"/>
      <c r="MMP1" s="186"/>
      <c r="MMQ1" s="186"/>
      <c r="MMR1" s="186"/>
      <c r="MMS1" s="186"/>
      <c r="MMT1" s="186"/>
      <c r="MMU1" s="186"/>
      <c r="MMV1" s="186"/>
      <c r="MMW1" s="186"/>
      <c r="MMX1" s="186"/>
      <c r="MMY1" s="186"/>
      <c r="MMZ1" s="186"/>
      <c r="MNA1" s="186"/>
      <c r="MNB1" s="186"/>
      <c r="MNC1" s="186"/>
      <c r="MND1" s="186"/>
      <c r="MNE1" s="186"/>
      <c r="MNF1" s="186"/>
      <c r="MNG1" s="186"/>
      <c r="MNH1" s="186"/>
      <c r="MNI1" s="186"/>
      <c r="MNJ1" s="186"/>
      <c r="MNK1" s="186"/>
      <c r="MNL1" s="186"/>
      <c r="MNM1" s="186"/>
      <c r="MNN1" s="186"/>
      <c r="MNO1" s="186"/>
      <c r="MNP1" s="186"/>
      <c r="MNQ1" s="186"/>
      <c r="MNR1" s="186"/>
      <c r="MNS1" s="186"/>
      <c r="MNT1" s="186"/>
      <c r="MNU1" s="186"/>
      <c r="MNV1" s="186"/>
      <c r="MNW1" s="186"/>
      <c r="MNX1" s="186"/>
      <c r="MNY1" s="186"/>
      <c r="MNZ1" s="186"/>
      <c r="MOA1" s="186"/>
      <c r="MOB1" s="186"/>
      <c r="MOC1" s="186"/>
      <c r="MOD1" s="186"/>
      <c r="MOE1" s="186"/>
      <c r="MOF1" s="186"/>
      <c r="MOG1" s="186"/>
      <c r="MOH1" s="186"/>
      <c r="MOI1" s="186"/>
      <c r="MOJ1" s="186"/>
      <c r="MOK1" s="186"/>
      <c r="MOL1" s="186"/>
      <c r="MOM1" s="186"/>
      <c r="MON1" s="186"/>
      <c r="MOO1" s="186"/>
      <c r="MOP1" s="186"/>
      <c r="MOQ1" s="186"/>
      <c r="MOR1" s="186"/>
      <c r="MOS1" s="186"/>
      <c r="MOT1" s="186"/>
      <c r="MOU1" s="186"/>
      <c r="MOV1" s="186"/>
      <c r="MOW1" s="186"/>
      <c r="MOX1" s="186"/>
      <c r="MOY1" s="186"/>
      <c r="MOZ1" s="186"/>
      <c r="MPA1" s="186"/>
      <c r="MPB1" s="186"/>
      <c r="MPC1" s="186"/>
      <c r="MPD1" s="186"/>
      <c r="MPE1" s="186"/>
      <c r="MPF1" s="186"/>
      <c r="MPG1" s="186"/>
      <c r="MPH1" s="186"/>
      <c r="MPI1" s="186"/>
      <c r="MPJ1" s="186"/>
      <c r="MPK1" s="186"/>
      <c r="MPL1" s="186"/>
      <c r="MPM1" s="186"/>
      <c r="MPN1" s="186"/>
      <c r="MPO1" s="186"/>
      <c r="MPP1" s="186"/>
      <c r="MPQ1" s="186"/>
      <c r="MPR1" s="186"/>
      <c r="MPS1" s="186"/>
      <c r="MPT1" s="186"/>
      <c r="MPU1" s="186"/>
      <c r="MPV1" s="186"/>
      <c r="MPW1" s="186"/>
      <c r="MPX1" s="186"/>
      <c r="MPY1" s="186"/>
      <c r="MPZ1" s="186"/>
      <c r="MQA1" s="186"/>
      <c r="MQB1" s="186"/>
      <c r="MQC1" s="186"/>
      <c r="MQD1" s="186"/>
      <c r="MQE1" s="186"/>
      <c r="MQF1" s="186"/>
      <c r="MQG1" s="186"/>
      <c r="MQH1" s="186"/>
      <c r="MQI1" s="186"/>
      <c r="MQJ1" s="186"/>
      <c r="MQK1" s="186"/>
      <c r="MQL1" s="186"/>
      <c r="MQM1" s="186"/>
      <c r="MQN1" s="186"/>
      <c r="MQO1" s="186"/>
      <c r="MQP1" s="186"/>
      <c r="MQQ1" s="186"/>
      <c r="MQR1" s="186"/>
      <c r="MQS1" s="186"/>
      <c r="MQT1" s="186"/>
      <c r="MQU1" s="186"/>
      <c r="MQV1" s="186"/>
      <c r="MQW1" s="186"/>
      <c r="MQX1" s="186"/>
      <c r="MQY1" s="186"/>
      <c r="MQZ1" s="186"/>
      <c r="MRA1" s="186"/>
      <c r="MRB1" s="186"/>
      <c r="MRC1" s="186"/>
      <c r="MRD1" s="186"/>
      <c r="MRE1" s="186"/>
      <c r="MRF1" s="186"/>
      <c r="MRG1" s="186"/>
      <c r="MRH1" s="186"/>
      <c r="MRI1" s="186"/>
      <c r="MRJ1" s="186"/>
      <c r="MRK1" s="186"/>
      <c r="MRL1" s="186"/>
      <c r="MRM1" s="186"/>
      <c r="MRN1" s="186"/>
      <c r="MRO1" s="186"/>
      <c r="MRP1" s="186"/>
      <c r="MRQ1" s="186"/>
      <c r="MRR1" s="186"/>
      <c r="MRS1" s="186"/>
      <c r="MRT1" s="186"/>
      <c r="MRU1" s="186"/>
      <c r="MRV1" s="186"/>
      <c r="MRW1" s="186"/>
      <c r="MRX1" s="186"/>
      <c r="MRY1" s="186"/>
      <c r="MRZ1" s="186"/>
      <c r="MSA1" s="186"/>
      <c r="MSB1" s="186"/>
      <c r="MSC1" s="186"/>
      <c r="MSD1" s="186"/>
      <c r="MSE1" s="186"/>
      <c r="MSF1" s="186"/>
      <c r="MSG1" s="186"/>
      <c r="MSH1" s="186"/>
      <c r="MSI1" s="186"/>
      <c r="MSJ1" s="186"/>
      <c r="MSK1" s="186"/>
      <c r="MSL1" s="186"/>
      <c r="MSM1" s="186"/>
      <c r="MSN1" s="186"/>
      <c r="MSO1" s="186"/>
      <c r="MSP1" s="186"/>
      <c r="MSQ1" s="186"/>
      <c r="MSR1" s="186"/>
      <c r="MSS1" s="186"/>
      <c r="MST1" s="186"/>
      <c r="MSU1" s="186"/>
      <c r="MSV1" s="186"/>
      <c r="MSW1" s="186"/>
      <c r="MSX1" s="186"/>
      <c r="MSY1" s="186"/>
      <c r="MSZ1" s="186"/>
      <c r="MTA1" s="186"/>
      <c r="MTB1" s="186"/>
      <c r="MTC1" s="186"/>
      <c r="MTD1" s="186"/>
      <c r="MTE1" s="186"/>
      <c r="MTF1" s="186"/>
      <c r="MTG1" s="186"/>
      <c r="MTH1" s="186"/>
      <c r="MTI1" s="186"/>
      <c r="MTJ1" s="186"/>
      <c r="MTK1" s="186"/>
      <c r="MTL1" s="186"/>
      <c r="MTM1" s="186"/>
      <c r="MTN1" s="186"/>
      <c r="MTO1" s="186"/>
      <c r="MTP1" s="186"/>
      <c r="MTQ1" s="186"/>
      <c r="MTR1" s="186"/>
      <c r="MTS1" s="186"/>
      <c r="MTT1" s="186"/>
      <c r="MTU1" s="186"/>
      <c r="MTV1" s="186"/>
      <c r="MTW1" s="186"/>
      <c r="MTX1" s="186"/>
      <c r="MTY1" s="186"/>
      <c r="MTZ1" s="186"/>
      <c r="MUA1" s="186"/>
      <c r="MUB1" s="186"/>
      <c r="MUC1" s="186"/>
      <c r="MUD1" s="186"/>
      <c r="MUE1" s="186"/>
      <c r="MUF1" s="186"/>
      <c r="MUG1" s="186"/>
      <c r="MUH1" s="186"/>
      <c r="MUI1" s="186"/>
      <c r="MUJ1" s="186"/>
      <c r="MUK1" s="186"/>
      <c r="MUL1" s="186"/>
      <c r="MUM1" s="186"/>
      <c r="MUN1" s="186"/>
      <c r="MUO1" s="186"/>
      <c r="MUP1" s="186"/>
      <c r="MUQ1" s="186"/>
      <c r="MUR1" s="186"/>
      <c r="MUS1" s="186"/>
      <c r="MUT1" s="186"/>
      <c r="MUU1" s="186"/>
      <c r="MUV1" s="186"/>
      <c r="MUW1" s="186"/>
      <c r="MUX1" s="186"/>
      <c r="MUY1" s="186"/>
      <c r="MUZ1" s="186"/>
      <c r="MVA1" s="186"/>
      <c r="MVB1" s="186"/>
      <c r="MVC1" s="186"/>
      <c r="MVD1" s="186"/>
      <c r="MVE1" s="186"/>
      <c r="MVF1" s="186"/>
      <c r="MVG1" s="186"/>
      <c r="MVH1" s="186"/>
      <c r="MVI1" s="186"/>
      <c r="MVJ1" s="186"/>
      <c r="MVK1" s="186"/>
      <c r="MVL1" s="186"/>
      <c r="MVM1" s="186"/>
      <c r="MVN1" s="186"/>
      <c r="MVO1" s="186"/>
      <c r="MVP1" s="186"/>
      <c r="MVQ1" s="186"/>
      <c r="MVR1" s="186"/>
      <c r="MVS1" s="186"/>
      <c r="MVT1" s="186"/>
      <c r="MVU1" s="186"/>
      <c r="MVV1" s="186"/>
      <c r="MVW1" s="186"/>
      <c r="MVX1" s="186"/>
      <c r="MVY1" s="186"/>
      <c r="MVZ1" s="186"/>
      <c r="MWA1" s="186"/>
      <c r="MWB1" s="186"/>
      <c r="MWC1" s="186"/>
      <c r="MWD1" s="186"/>
      <c r="MWE1" s="186"/>
      <c r="MWF1" s="186"/>
      <c r="MWG1" s="186"/>
      <c r="MWH1" s="186"/>
      <c r="MWI1" s="186"/>
      <c r="MWJ1" s="186"/>
      <c r="MWK1" s="186"/>
      <c r="MWL1" s="186"/>
      <c r="MWM1" s="186"/>
      <c r="MWN1" s="186"/>
      <c r="MWO1" s="186"/>
      <c r="MWP1" s="186"/>
      <c r="MWQ1" s="186"/>
      <c r="MWR1" s="186"/>
      <c r="MWS1" s="186"/>
      <c r="MWT1" s="186"/>
      <c r="MWU1" s="186"/>
      <c r="MWV1" s="186"/>
      <c r="MWW1" s="186"/>
      <c r="MWX1" s="186"/>
      <c r="MWY1" s="186"/>
      <c r="MWZ1" s="186"/>
      <c r="MXA1" s="186"/>
      <c r="MXB1" s="186"/>
      <c r="MXC1" s="186"/>
      <c r="MXD1" s="186"/>
      <c r="MXE1" s="186"/>
      <c r="MXF1" s="186"/>
      <c r="MXG1" s="186"/>
      <c r="MXH1" s="186"/>
      <c r="MXI1" s="186"/>
      <c r="MXJ1" s="186"/>
      <c r="MXK1" s="186"/>
      <c r="MXL1" s="186"/>
      <c r="MXM1" s="186"/>
      <c r="MXN1" s="186"/>
      <c r="MXO1" s="186"/>
      <c r="MXP1" s="186"/>
      <c r="MXQ1" s="186"/>
      <c r="MXR1" s="186"/>
      <c r="MXS1" s="186"/>
      <c r="MXT1" s="186"/>
      <c r="MXU1" s="186"/>
      <c r="MXV1" s="186"/>
      <c r="MXW1" s="186"/>
      <c r="MXX1" s="186"/>
      <c r="MXY1" s="186"/>
      <c r="MXZ1" s="186"/>
      <c r="MYA1" s="186"/>
      <c r="MYB1" s="186"/>
      <c r="MYC1" s="186"/>
      <c r="MYD1" s="186"/>
      <c r="MYE1" s="186"/>
      <c r="MYF1" s="186"/>
      <c r="MYG1" s="186"/>
      <c r="MYH1" s="186"/>
      <c r="MYI1" s="186"/>
      <c r="MYJ1" s="186"/>
      <c r="MYK1" s="186"/>
      <c r="MYL1" s="186"/>
      <c r="MYM1" s="186"/>
      <c r="MYN1" s="186"/>
      <c r="MYO1" s="186"/>
      <c r="MYP1" s="186"/>
      <c r="MYQ1" s="186"/>
      <c r="MYR1" s="186"/>
      <c r="MYS1" s="186"/>
      <c r="MYT1" s="186"/>
      <c r="MYU1" s="186"/>
      <c r="MYV1" s="186"/>
      <c r="MYW1" s="186"/>
      <c r="MYX1" s="186"/>
      <c r="MYY1" s="186"/>
      <c r="MYZ1" s="186"/>
      <c r="MZA1" s="186"/>
      <c r="MZB1" s="186"/>
      <c r="MZC1" s="186"/>
      <c r="MZD1" s="186"/>
      <c r="MZE1" s="186"/>
      <c r="MZF1" s="186"/>
      <c r="MZG1" s="186"/>
      <c r="MZH1" s="186"/>
      <c r="MZI1" s="186"/>
      <c r="MZJ1" s="186"/>
      <c r="MZK1" s="186"/>
      <c r="MZL1" s="186"/>
      <c r="MZM1" s="186"/>
      <c r="MZN1" s="186"/>
      <c r="MZO1" s="186"/>
      <c r="MZP1" s="186"/>
      <c r="MZQ1" s="186"/>
      <c r="MZR1" s="186"/>
      <c r="MZS1" s="186"/>
      <c r="MZT1" s="186"/>
      <c r="MZU1" s="186"/>
      <c r="MZV1" s="186"/>
      <c r="MZW1" s="186"/>
      <c r="MZX1" s="186"/>
      <c r="MZY1" s="186"/>
      <c r="MZZ1" s="186"/>
      <c r="NAA1" s="186"/>
      <c r="NAB1" s="186"/>
      <c r="NAC1" s="186"/>
      <c r="NAD1" s="186"/>
      <c r="NAE1" s="186"/>
      <c r="NAF1" s="186"/>
      <c r="NAG1" s="186"/>
      <c r="NAH1" s="186"/>
      <c r="NAI1" s="186"/>
      <c r="NAJ1" s="186"/>
      <c r="NAK1" s="186"/>
      <c r="NAL1" s="186"/>
      <c r="NAM1" s="186"/>
      <c r="NAN1" s="186"/>
      <c r="NAO1" s="186"/>
      <c r="NAP1" s="186"/>
      <c r="NAQ1" s="186"/>
      <c r="NAR1" s="186"/>
      <c r="NAS1" s="186"/>
      <c r="NAT1" s="186"/>
      <c r="NAU1" s="186"/>
      <c r="NAV1" s="186"/>
      <c r="NAW1" s="186"/>
      <c r="NAX1" s="186"/>
      <c r="NAY1" s="186"/>
      <c r="NAZ1" s="186"/>
      <c r="NBA1" s="186"/>
      <c r="NBB1" s="186"/>
      <c r="NBC1" s="186"/>
      <c r="NBD1" s="186"/>
      <c r="NBE1" s="186"/>
      <c r="NBF1" s="186"/>
      <c r="NBG1" s="186"/>
      <c r="NBH1" s="186"/>
      <c r="NBI1" s="186"/>
      <c r="NBJ1" s="186"/>
      <c r="NBK1" s="186"/>
      <c r="NBL1" s="186"/>
      <c r="NBM1" s="186"/>
      <c r="NBN1" s="186"/>
      <c r="NBO1" s="186"/>
      <c r="NBP1" s="186"/>
      <c r="NBQ1" s="186"/>
      <c r="NBR1" s="186"/>
      <c r="NBS1" s="186"/>
      <c r="NBT1" s="186"/>
      <c r="NBU1" s="186"/>
      <c r="NBV1" s="186"/>
      <c r="NBW1" s="186"/>
      <c r="NBX1" s="186"/>
      <c r="NBY1" s="186"/>
      <c r="NBZ1" s="186"/>
      <c r="NCA1" s="186"/>
      <c r="NCB1" s="186"/>
      <c r="NCC1" s="186"/>
      <c r="NCD1" s="186"/>
      <c r="NCE1" s="186"/>
      <c r="NCF1" s="186"/>
      <c r="NCG1" s="186"/>
      <c r="NCH1" s="186"/>
      <c r="NCI1" s="186"/>
      <c r="NCJ1" s="186"/>
      <c r="NCK1" s="186"/>
      <c r="NCL1" s="186"/>
      <c r="NCM1" s="186"/>
      <c r="NCN1" s="186"/>
      <c r="NCO1" s="186"/>
      <c r="NCP1" s="186"/>
      <c r="NCQ1" s="186"/>
      <c r="NCR1" s="186"/>
      <c r="NCS1" s="186"/>
      <c r="NCT1" s="186"/>
      <c r="NCU1" s="186"/>
      <c r="NCV1" s="186"/>
      <c r="NCW1" s="186"/>
      <c r="NCX1" s="186"/>
      <c r="NCY1" s="186"/>
      <c r="NCZ1" s="186"/>
      <c r="NDA1" s="186"/>
      <c r="NDB1" s="186"/>
      <c r="NDC1" s="186"/>
      <c r="NDD1" s="186"/>
      <c r="NDE1" s="186"/>
      <c r="NDF1" s="186"/>
      <c r="NDG1" s="186"/>
      <c r="NDH1" s="186"/>
      <c r="NDI1" s="186"/>
      <c r="NDJ1" s="186"/>
      <c r="NDK1" s="186"/>
      <c r="NDL1" s="186"/>
      <c r="NDM1" s="186"/>
      <c r="NDN1" s="186"/>
      <c r="NDO1" s="186"/>
      <c r="NDP1" s="186"/>
      <c r="NDQ1" s="186"/>
      <c r="NDR1" s="186"/>
      <c r="NDS1" s="186"/>
      <c r="NDT1" s="186"/>
      <c r="NDU1" s="186"/>
      <c r="NDV1" s="186"/>
      <c r="NDW1" s="186"/>
      <c r="NDX1" s="186"/>
      <c r="NDY1" s="186"/>
      <c r="NDZ1" s="186"/>
      <c r="NEA1" s="186"/>
      <c r="NEB1" s="186"/>
      <c r="NEC1" s="186"/>
      <c r="NED1" s="186"/>
      <c r="NEE1" s="186"/>
      <c r="NEF1" s="186"/>
      <c r="NEG1" s="186"/>
      <c r="NEH1" s="186"/>
      <c r="NEI1" s="186"/>
      <c r="NEJ1" s="186"/>
      <c r="NEK1" s="186"/>
      <c r="NEL1" s="186"/>
      <c r="NEM1" s="186"/>
      <c r="NEN1" s="186"/>
      <c r="NEO1" s="186"/>
      <c r="NEP1" s="186"/>
      <c r="NEQ1" s="186"/>
      <c r="NER1" s="186"/>
      <c r="NES1" s="186"/>
      <c r="NET1" s="186"/>
      <c r="NEU1" s="186"/>
      <c r="NEV1" s="186"/>
      <c r="NEW1" s="186"/>
      <c r="NEX1" s="186"/>
      <c r="NEY1" s="186"/>
      <c r="NEZ1" s="186"/>
      <c r="NFA1" s="186"/>
      <c r="NFB1" s="186"/>
      <c r="NFC1" s="186"/>
      <c r="NFD1" s="186"/>
      <c r="NFE1" s="186"/>
      <c r="NFF1" s="186"/>
      <c r="NFG1" s="186"/>
      <c r="NFH1" s="186"/>
      <c r="NFI1" s="186"/>
      <c r="NFJ1" s="186"/>
      <c r="NFK1" s="186"/>
      <c r="NFL1" s="186"/>
      <c r="NFM1" s="186"/>
      <c r="NFN1" s="186"/>
      <c r="NFO1" s="186"/>
      <c r="NFP1" s="186"/>
      <c r="NFQ1" s="186"/>
      <c r="NFR1" s="186"/>
      <c r="NFS1" s="186"/>
      <c r="NFT1" s="186"/>
      <c r="NFU1" s="186"/>
      <c r="NFV1" s="186"/>
      <c r="NFW1" s="186"/>
      <c r="NFX1" s="186"/>
      <c r="NFY1" s="186"/>
      <c r="NFZ1" s="186"/>
      <c r="NGA1" s="186"/>
      <c r="NGB1" s="186"/>
      <c r="NGC1" s="186"/>
      <c r="NGD1" s="186"/>
      <c r="NGE1" s="186"/>
      <c r="NGF1" s="186"/>
      <c r="NGG1" s="186"/>
      <c r="NGH1" s="186"/>
      <c r="NGI1" s="186"/>
      <c r="NGJ1" s="186"/>
      <c r="NGK1" s="186"/>
      <c r="NGL1" s="186"/>
      <c r="NGM1" s="186"/>
      <c r="NGN1" s="186"/>
      <c r="NGO1" s="186"/>
      <c r="NGP1" s="186"/>
      <c r="NGQ1" s="186"/>
      <c r="NGR1" s="186"/>
      <c r="NGS1" s="186"/>
      <c r="NGT1" s="186"/>
      <c r="NGU1" s="186"/>
      <c r="NGV1" s="186"/>
      <c r="NGW1" s="186"/>
      <c r="NGX1" s="186"/>
      <c r="NGY1" s="186"/>
      <c r="NGZ1" s="186"/>
      <c r="NHA1" s="186"/>
      <c r="NHB1" s="186"/>
      <c r="NHC1" s="186"/>
      <c r="NHD1" s="186"/>
      <c r="NHE1" s="186"/>
      <c r="NHF1" s="186"/>
      <c r="NHG1" s="186"/>
      <c r="NHH1" s="186"/>
      <c r="NHI1" s="186"/>
      <c r="NHJ1" s="186"/>
      <c r="NHK1" s="186"/>
      <c r="NHL1" s="186"/>
      <c r="NHM1" s="186"/>
      <c r="NHN1" s="186"/>
      <c r="NHO1" s="186"/>
      <c r="NHP1" s="186"/>
      <c r="NHQ1" s="186"/>
      <c r="NHR1" s="186"/>
      <c r="NHS1" s="186"/>
      <c r="NHT1" s="186"/>
      <c r="NHU1" s="186"/>
      <c r="NHV1" s="186"/>
      <c r="NHW1" s="186"/>
      <c r="NHX1" s="186"/>
      <c r="NHY1" s="186"/>
      <c r="NHZ1" s="186"/>
      <c r="NIA1" s="186"/>
      <c r="NIB1" s="186"/>
      <c r="NIC1" s="186"/>
      <c r="NID1" s="186"/>
      <c r="NIE1" s="186"/>
      <c r="NIF1" s="186"/>
      <c r="NIG1" s="186"/>
      <c r="NIH1" s="186"/>
      <c r="NII1" s="186"/>
      <c r="NIJ1" s="186"/>
      <c r="NIK1" s="186"/>
      <c r="NIL1" s="186"/>
      <c r="NIM1" s="186"/>
      <c r="NIN1" s="186"/>
      <c r="NIO1" s="186"/>
      <c r="NIP1" s="186"/>
      <c r="NIQ1" s="186"/>
      <c r="NIR1" s="186"/>
      <c r="NIS1" s="186"/>
      <c r="NIT1" s="186"/>
      <c r="NIU1" s="186"/>
      <c r="NIV1" s="186"/>
      <c r="NIW1" s="186"/>
      <c r="NIX1" s="186"/>
      <c r="NIY1" s="186"/>
      <c r="NIZ1" s="186"/>
      <c r="NJA1" s="186"/>
      <c r="NJB1" s="186"/>
      <c r="NJC1" s="186"/>
      <c r="NJD1" s="186"/>
      <c r="NJE1" s="186"/>
      <c r="NJF1" s="186"/>
      <c r="NJG1" s="186"/>
      <c r="NJH1" s="186"/>
      <c r="NJI1" s="186"/>
      <c r="NJJ1" s="186"/>
      <c r="NJK1" s="186"/>
      <c r="NJL1" s="186"/>
      <c r="NJM1" s="186"/>
      <c r="NJN1" s="186"/>
      <c r="NJO1" s="186"/>
      <c r="NJP1" s="186"/>
      <c r="NJQ1" s="186"/>
      <c r="NJR1" s="186"/>
      <c r="NJS1" s="186"/>
      <c r="NJT1" s="186"/>
      <c r="NJU1" s="186"/>
      <c r="NJV1" s="186"/>
      <c r="NJW1" s="186"/>
      <c r="NJX1" s="186"/>
      <c r="NJY1" s="186"/>
      <c r="NJZ1" s="186"/>
      <c r="NKA1" s="186"/>
      <c r="NKB1" s="186"/>
      <c r="NKC1" s="186"/>
      <c r="NKD1" s="186"/>
      <c r="NKE1" s="186"/>
      <c r="NKF1" s="186"/>
      <c r="NKG1" s="186"/>
      <c r="NKH1" s="186"/>
      <c r="NKI1" s="186"/>
      <c r="NKJ1" s="186"/>
      <c r="NKK1" s="186"/>
      <c r="NKL1" s="186"/>
      <c r="NKM1" s="186"/>
      <c r="NKN1" s="186"/>
      <c r="NKO1" s="186"/>
      <c r="NKP1" s="186"/>
      <c r="NKQ1" s="186"/>
      <c r="NKR1" s="186"/>
      <c r="NKS1" s="186"/>
      <c r="NKT1" s="186"/>
      <c r="NKU1" s="186"/>
      <c r="NKV1" s="186"/>
      <c r="NKW1" s="186"/>
      <c r="NKX1" s="186"/>
      <c r="NKY1" s="186"/>
      <c r="NKZ1" s="186"/>
      <c r="NLA1" s="186"/>
      <c r="NLB1" s="186"/>
      <c r="NLC1" s="186"/>
      <c r="NLD1" s="186"/>
      <c r="NLE1" s="186"/>
      <c r="NLF1" s="186"/>
      <c r="NLG1" s="186"/>
      <c r="NLH1" s="186"/>
      <c r="NLI1" s="186"/>
      <c r="NLJ1" s="186"/>
      <c r="NLK1" s="186"/>
      <c r="NLL1" s="186"/>
      <c r="NLM1" s="186"/>
      <c r="NLN1" s="186"/>
      <c r="NLO1" s="186"/>
      <c r="NLP1" s="186"/>
      <c r="NLQ1" s="186"/>
      <c r="NLR1" s="186"/>
      <c r="NLS1" s="186"/>
      <c r="NLT1" s="186"/>
      <c r="NLU1" s="186"/>
      <c r="NLV1" s="186"/>
      <c r="NLW1" s="186"/>
      <c r="NLX1" s="186"/>
      <c r="NLY1" s="186"/>
      <c r="NLZ1" s="186"/>
      <c r="NMA1" s="186"/>
      <c r="NMB1" s="186"/>
      <c r="NMC1" s="186"/>
      <c r="NMD1" s="186"/>
      <c r="NME1" s="186"/>
      <c r="NMF1" s="186"/>
      <c r="NMG1" s="186"/>
      <c r="NMH1" s="186"/>
      <c r="NMI1" s="186"/>
      <c r="NMJ1" s="186"/>
      <c r="NMK1" s="186"/>
      <c r="NML1" s="186"/>
      <c r="NMM1" s="186"/>
      <c r="NMN1" s="186"/>
      <c r="NMO1" s="186"/>
      <c r="NMP1" s="186"/>
      <c r="NMQ1" s="186"/>
      <c r="NMR1" s="186"/>
      <c r="NMS1" s="186"/>
      <c r="NMT1" s="186"/>
      <c r="NMU1" s="186"/>
      <c r="NMV1" s="186"/>
      <c r="NMW1" s="186"/>
      <c r="NMX1" s="186"/>
      <c r="NMY1" s="186"/>
      <c r="NMZ1" s="186"/>
      <c r="NNA1" s="186"/>
      <c r="NNB1" s="186"/>
      <c r="NNC1" s="186"/>
      <c r="NND1" s="186"/>
      <c r="NNE1" s="186"/>
      <c r="NNF1" s="186"/>
      <c r="NNG1" s="186"/>
      <c r="NNH1" s="186"/>
      <c r="NNI1" s="186"/>
      <c r="NNJ1" s="186"/>
      <c r="NNK1" s="186"/>
      <c r="NNL1" s="186"/>
      <c r="NNM1" s="186"/>
      <c r="NNN1" s="186"/>
      <c r="NNO1" s="186"/>
      <c r="NNP1" s="186"/>
      <c r="NNQ1" s="186"/>
      <c r="NNR1" s="186"/>
      <c r="NNS1" s="186"/>
      <c r="NNT1" s="186"/>
      <c r="NNU1" s="186"/>
      <c r="NNV1" s="186"/>
      <c r="NNW1" s="186"/>
      <c r="NNX1" s="186"/>
      <c r="NNY1" s="186"/>
      <c r="NNZ1" s="186"/>
      <c r="NOA1" s="186"/>
      <c r="NOB1" s="186"/>
      <c r="NOC1" s="186"/>
      <c r="NOD1" s="186"/>
      <c r="NOE1" s="186"/>
      <c r="NOF1" s="186"/>
      <c r="NOG1" s="186"/>
      <c r="NOH1" s="186"/>
      <c r="NOI1" s="186"/>
      <c r="NOJ1" s="186"/>
      <c r="NOK1" s="186"/>
      <c r="NOL1" s="186"/>
      <c r="NOM1" s="186"/>
      <c r="NON1" s="186"/>
      <c r="NOO1" s="186"/>
      <c r="NOP1" s="186"/>
      <c r="NOQ1" s="186"/>
      <c r="NOR1" s="186"/>
      <c r="NOS1" s="186"/>
      <c r="NOT1" s="186"/>
      <c r="NOU1" s="186"/>
      <c r="NOV1" s="186"/>
      <c r="NOW1" s="186"/>
      <c r="NOX1" s="186"/>
      <c r="NOY1" s="186"/>
      <c r="NOZ1" s="186"/>
      <c r="NPA1" s="186"/>
      <c r="NPB1" s="186"/>
      <c r="NPC1" s="186"/>
      <c r="NPD1" s="186"/>
      <c r="NPE1" s="186"/>
      <c r="NPF1" s="186"/>
      <c r="NPG1" s="186"/>
      <c r="NPH1" s="186"/>
      <c r="NPI1" s="186"/>
      <c r="NPJ1" s="186"/>
      <c r="NPK1" s="186"/>
      <c r="NPL1" s="186"/>
      <c r="NPM1" s="186"/>
      <c r="NPN1" s="186"/>
      <c r="NPO1" s="186"/>
      <c r="NPP1" s="186"/>
      <c r="NPQ1" s="186"/>
      <c r="NPR1" s="186"/>
      <c r="NPS1" s="186"/>
      <c r="NPT1" s="186"/>
      <c r="NPU1" s="186"/>
      <c r="NPV1" s="186"/>
      <c r="NPW1" s="186"/>
      <c r="NPX1" s="186"/>
      <c r="NPY1" s="186"/>
      <c r="NPZ1" s="186"/>
      <c r="NQA1" s="186"/>
      <c r="NQB1" s="186"/>
      <c r="NQC1" s="186"/>
      <c r="NQD1" s="186"/>
      <c r="NQE1" s="186"/>
      <c r="NQF1" s="186"/>
      <c r="NQG1" s="186"/>
      <c r="NQH1" s="186"/>
      <c r="NQI1" s="186"/>
      <c r="NQJ1" s="186"/>
      <c r="NQK1" s="186"/>
      <c r="NQL1" s="186"/>
      <c r="NQM1" s="186"/>
      <c r="NQN1" s="186"/>
      <c r="NQO1" s="186"/>
      <c r="NQP1" s="186"/>
      <c r="NQQ1" s="186"/>
      <c r="NQR1" s="186"/>
      <c r="NQS1" s="186"/>
      <c r="NQT1" s="186"/>
      <c r="NQU1" s="186"/>
      <c r="NQV1" s="186"/>
      <c r="NQW1" s="186"/>
      <c r="NQX1" s="186"/>
      <c r="NQY1" s="186"/>
      <c r="NQZ1" s="186"/>
      <c r="NRA1" s="186"/>
      <c r="NRB1" s="186"/>
      <c r="NRC1" s="186"/>
      <c r="NRD1" s="186"/>
      <c r="NRE1" s="186"/>
      <c r="NRF1" s="186"/>
      <c r="NRG1" s="186"/>
      <c r="NRH1" s="186"/>
      <c r="NRI1" s="186"/>
      <c r="NRJ1" s="186"/>
      <c r="NRK1" s="186"/>
      <c r="NRL1" s="186"/>
      <c r="NRM1" s="186"/>
      <c r="NRN1" s="186"/>
      <c r="NRO1" s="186"/>
      <c r="NRP1" s="186"/>
      <c r="NRQ1" s="186"/>
      <c r="NRR1" s="186"/>
      <c r="NRS1" s="186"/>
      <c r="NRT1" s="186"/>
      <c r="NRU1" s="186"/>
      <c r="NRV1" s="186"/>
      <c r="NRW1" s="186"/>
      <c r="NRX1" s="186"/>
      <c r="NRY1" s="186"/>
      <c r="NRZ1" s="186"/>
      <c r="NSA1" s="186"/>
      <c r="NSB1" s="186"/>
      <c r="NSC1" s="186"/>
      <c r="NSD1" s="186"/>
      <c r="NSE1" s="186"/>
      <c r="NSF1" s="186"/>
      <c r="NSG1" s="186"/>
      <c r="NSH1" s="186"/>
      <c r="NSI1" s="186"/>
      <c r="NSJ1" s="186"/>
      <c r="NSK1" s="186"/>
      <c r="NSL1" s="186"/>
      <c r="NSM1" s="186"/>
      <c r="NSN1" s="186"/>
      <c r="NSO1" s="186"/>
      <c r="NSP1" s="186"/>
      <c r="NSQ1" s="186"/>
      <c r="NSR1" s="186"/>
      <c r="NSS1" s="186"/>
      <c r="NST1" s="186"/>
      <c r="NSU1" s="186"/>
      <c r="NSV1" s="186"/>
      <c r="NSW1" s="186"/>
      <c r="NSX1" s="186"/>
      <c r="NSY1" s="186"/>
      <c r="NSZ1" s="186"/>
      <c r="NTA1" s="186"/>
      <c r="NTB1" s="186"/>
      <c r="NTC1" s="186"/>
      <c r="NTD1" s="186"/>
      <c r="NTE1" s="186"/>
      <c r="NTF1" s="186"/>
      <c r="NTG1" s="186"/>
      <c r="NTH1" s="186"/>
      <c r="NTI1" s="186"/>
      <c r="NTJ1" s="186"/>
      <c r="NTK1" s="186"/>
      <c r="NTL1" s="186"/>
      <c r="NTM1" s="186"/>
      <c r="NTN1" s="186"/>
      <c r="NTO1" s="186"/>
      <c r="NTP1" s="186"/>
      <c r="NTQ1" s="186"/>
      <c r="NTR1" s="186"/>
      <c r="NTS1" s="186"/>
      <c r="NTT1" s="186"/>
      <c r="NTU1" s="186"/>
      <c r="NTV1" s="186"/>
      <c r="NTW1" s="186"/>
      <c r="NTX1" s="186"/>
      <c r="NTY1" s="186"/>
      <c r="NTZ1" s="186"/>
      <c r="NUA1" s="186"/>
      <c r="NUB1" s="186"/>
      <c r="NUC1" s="186"/>
      <c r="NUD1" s="186"/>
      <c r="NUE1" s="186"/>
      <c r="NUF1" s="186"/>
      <c r="NUG1" s="186"/>
      <c r="NUH1" s="186"/>
      <c r="NUI1" s="186"/>
      <c r="NUJ1" s="186"/>
      <c r="NUK1" s="186"/>
      <c r="NUL1" s="186"/>
      <c r="NUM1" s="186"/>
      <c r="NUN1" s="186"/>
      <c r="NUO1" s="186"/>
      <c r="NUP1" s="186"/>
      <c r="NUQ1" s="186"/>
      <c r="NUR1" s="186"/>
      <c r="NUS1" s="186"/>
      <c r="NUT1" s="186"/>
      <c r="NUU1" s="186"/>
      <c r="NUV1" s="186"/>
      <c r="NUW1" s="186"/>
      <c r="NUX1" s="186"/>
      <c r="NUY1" s="186"/>
      <c r="NUZ1" s="186"/>
      <c r="NVA1" s="186"/>
      <c r="NVB1" s="186"/>
      <c r="NVC1" s="186"/>
      <c r="NVD1" s="186"/>
      <c r="NVE1" s="186"/>
      <c r="NVF1" s="186"/>
      <c r="NVG1" s="186"/>
      <c r="NVH1" s="186"/>
      <c r="NVI1" s="186"/>
      <c r="NVJ1" s="186"/>
      <c r="NVK1" s="186"/>
      <c r="NVL1" s="186"/>
      <c r="NVM1" s="186"/>
      <c r="NVN1" s="186"/>
      <c r="NVO1" s="186"/>
      <c r="NVP1" s="186"/>
      <c r="NVQ1" s="186"/>
      <c r="NVR1" s="186"/>
      <c r="NVS1" s="186"/>
      <c r="NVT1" s="186"/>
      <c r="NVU1" s="186"/>
      <c r="NVV1" s="186"/>
      <c r="NVW1" s="186"/>
      <c r="NVX1" s="186"/>
      <c r="NVY1" s="186"/>
      <c r="NVZ1" s="186"/>
      <c r="NWA1" s="186"/>
      <c r="NWB1" s="186"/>
      <c r="NWC1" s="186"/>
      <c r="NWD1" s="186"/>
      <c r="NWE1" s="186"/>
      <c r="NWF1" s="186"/>
      <c r="NWG1" s="186"/>
      <c r="NWH1" s="186"/>
      <c r="NWI1" s="186"/>
      <c r="NWJ1" s="186"/>
      <c r="NWK1" s="186"/>
      <c r="NWL1" s="186"/>
      <c r="NWM1" s="186"/>
      <c r="NWN1" s="186"/>
      <c r="NWO1" s="186"/>
      <c r="NWP1" s="186"/>
      <c r="NWQ1" s="186"/>
      <c r="NWR1" s="186"/>
      <c r="NWS1" s="186"/>
      <c r="NWT1" s="186"/>
      <c r="NWU1" s="186"/>
      <c r="NWV1" s="186"/>
      <c r="NWW1" s="186"/>
      <c r="NWX1" s="186"/>
      <c r="NWY1" s="186"/>
      <c r="NWZ1" s="186"/>
      <c r="NXA1" s="186"/>
      <c r="NXB1" s="186"/>
      <c r="NXC1" s="186"/>
      <c r="NXD1" s="186"/>
      <c r="NXE1" s="186"/>
      <c r="NXF1" s="186"/>
      <c r="NXG1" s="186"/>
      <c r="NXH1" s="186"/>
      <c r="NXI1" s="186"/>
      <c r="NXJ1" s="186"/>
      <c r="NXK1" s="186"/>
      <c r="NXL1" s="186"/>
      <c r="NXM1" s="186"/>
      <c r="NXN1" s="186"/>
      <c r="NXO1" s="186"/>
      <c r="NXP1" s="186"/>
      <c r="NXQ1" s="186"/>
      <c r="NXR1" s="186"/>
      <c r="NXS1" s="186"/>
      <c r="NXT1" s="186"/>
      <c r="NXU1" s="186"/>
      <c r="NXV1" s="186"/>
      <c r="NXW1" s="186"/>
      <c r="NXX1" s="186"/>
      <c r="NXY1" s="186"/>
      <c r="NXZ1" s="186"/>
      <c r="NYA1" s="186"/>
      <c r="NYB1" s="186"/>
      <c r="NYC1" s="186"/>
      <c r="NYD1" s="186"/>
      <c r="NYE1" s="186"/>
      <c r="NYF1" s="186"/>
      <c r="NYG1" s="186"/>
      <c r="NYH1" s="186"/>
      <c r="NYI1" s="186"/>
      <c r="NYJ1" s="186"/>
      <c r="NYK1" s="186"/>
      <c r="NYL1" s="186"/>
      <c r="NYM1" s="186"/>
      <c r="NYN1" s="186"/>
      <c r="NYO1" s="186"/>
      <c r="NYP1" s="186"/>
      <c r="NYQ1" s="186"/>
      <c r="NYR1" s="186"/>
      <c r="NYS1" s="186"/>
      <c r="NYT1" s="186"/>
      <c r="NYU1" s="186"/>
      <c r="NYV1" s="186"/>
      <c r="NYW1" s="186"/>
      <c r="NYX1" s="186"/>
      <c r="NYY1" s="186"/>
      <c r="NYZ1" s="186"/>
      <c r="NZA1" s="186"/>
      <c r="NZB1" s="186"/>
      <c r="NZC1" s="186"/>
      <c r="NZD1" s="186"/>
      <c r="NZE1" s="186"/>
      <c r="NZF1" s="186"/>
      <c r="NZG1" s="186"/>
      <c r="NZH1" s="186"/>
      <c r="NZI1" s="186"/>
      <c r="NZJ1" s="186"/>
      <c r="NZK1" s="186"/>
      <c r="NZL1" s="186"/>
      <c r="NZM1" s="186"/>
      <c r="NZN1" s="186"/>
      <c r="NZO1" s="186"/>
      <c r="NZP1" s="186"/>
      <c r="NZQ1" s="186"/>
      <c r="NZR1" s="186"/>
      <c r="NZS1" s="186"/>
      <c r="NZT1" s="186"/>
      <c r="NZU1" s="186"/>
      <c r="NZV1" s="186"/>
      <c r="NZW1" s="186"/>
      <c r="NZX1" s="186"/>
      <c r="NZY1" s="186"/>
      <c r="NZZ1" s="186"/>
      <c r="OAA1" s="186"/>
      <c r="OAB1" s="186"/>
      <c r="OAC1" s="186"/>
      <c r="OAD1" s="186"/>
      <c r="OAE1" s="186"/>
      <c r="OAF1" s="186"/>
      <c r="OAG1" s="186"/>
      <c r="OAH1" s="186"/>
      <c r="OAI1" s="186"/>
      <c r="OAJ1" s="186"/>
      <c r="OAK1" s="186"/>
      <c r="OAL1" s="186"/>
      <c r="OAM1" s="186"/>
      <c r="OAN1" s="186"/>
      <c r="OAO1" s="186"/>
      <c r="OAP1" s="186"/>
      <c r="OAQ1" s="186"/>
      <c r="OAR1" s="186"/>
      <c r="OAS1" s="186"/>
      <c r="OAT1" s="186"/>
      <c r="OAU1" s="186"/>
      <c r="OAV1" s="186"/>
      <c r="OAW1" s="186"/>
      <c r="OAX1" s="186"/>
      <c r="OAY1" s="186"/>
      <c r="OAZ1" s="186"/>
      <c r="OBA1" s="186"/>
      <c r="OBB1" s="186"/>
      <c r="OBC1" s="186"/>
      <c r="OBD1" s="186"/>
      <c r="OBE1" s="186"/>
      <c r="OBF1" s="186"/>
      <c r="OBG1" s="186"/>
      <c r="OBH1" s="186"/>
      <c r="OBI1" s="186"/>
      <c r="OBJ1" s="186"/>
      <c r="OBK1" s="186"/>
      <c r="OBL1" s="186"/>
      <c r="OBM1" s="186"/>
      <c r="OBN1" s="186"/>
      <c r="OBO1" s="186"/>
      <c r="OBP1" s="186"/>
      <c r="OBQ1" s="186"/>
      <c r="OBR1" s="186"/>
      <c r="OBS1" s="186"/>
      <c r="OBT1" s="186"/>
      <c r="OBU1" s="186"/>
      <c r="OBV1" s="186"/>
      <c r="OBW1" s="186"/>
      <c r="OBX1" s="186"/>
      <c r="OBY1" s="186"/>
      <c r="OBZ1" s="186"/>
      <c r="OCA1" s="186"/>
      <c r="OCB1" s="186"/>
      <c r="OCC1" s="186"/>
      <c r="OCD1" s="186"/>
      <c r="OCE1" s="186"/>
      <c r="OCF1" s="186"/>
      <c r="OCG1" s="186"/>
      <c r="OCH1" s="186"/>
      <c r="OCI1" s="186"/>
      <c r="OCJ1" s="186"/>
      <c r="OCK1" s="186"/>
      <c r="OCL1" s="186"/>
      <c r="OCM1" s="186"/>
      <c r="OCN1" s="186"/>
      <c r="OCO1" s="186"/>
      <c r="OCP1" s="186"/>
      <c r="OCQ1" s="186"/>
      <c r="OCR1" s="186"/>
      <c r="OCS1" s="186"/>
      <c r="OCT1" s="186"/>
      <c r="OCU1" s="186"/>
      <c r="OCV1" s="186"/>
      <c r="OCW1" s="186"/>
      <c r="OCX1" s="186"/>
      <c r="OCY1" s="186"/>
      <c r="OCZ1" s="186"/>
      <c r="ODA1" s="186"/>
      <c r="ODB1" s="186"/>
      <c r="ODC1" s="186"/>
      <c r="ODD1" s="186"/>
      <c r="ODE1" s="186"/>
      <c r="ODF1" s="186"/>
      <c r="ODG1" s="186"/>
      <c r="ODH1" s="186"/>
      <c r="ODI1" s="186"/>
      <c r="ODJ1" s="186"/>
      <c r="ODK1" s="186"/>
      <c r="ODL1" s="186"/>
      <c r="ODM1" s="186"/>
      <c r="ODN1" s="186"/>
      <c r="ODO1" s="186"/>
      <c r="ODP1" s="186"/>
      <c r="ODQ1" s="186"/>
      <c r="ODR1" s="186"/>
      <c r="ODS1" s="186"/>
      <c r="ODT1" s="186"/>
      <c r="ODU1" s="186"/>
      <c r="ODV1" s="186"/>
      <c r="ODW1" s="186"/>
      <c r="ODX1" s="186"/>
      <c r="ODY1" s="186"/>
      <c r="ODZ1" s="186"/>
      <c r="OEA1" s="186"/>
      <c r="OEB1" s="186"/>
      <c r="OEC1" s="186"/>
      <c r="OED1" s="186"/>
      <c r="OEE1" s="186"/>
      <c r="OEF1" s="186"/>
      <c r="OEG1" s="186"/>
      <c r="OEH1" s="186"/>
      <c r="OEI1" s="186"/>
      <c r="OEJ1" s="186"/>
      <c r="OEK1" s="186"/>
      <c r="OEL1" s="186"/>
      <c r="OEM1" s="186"/>
      <c r="OEN1" s="186"/>
      <c r="OEO1" s="186"/>
      <c r="OEP1" s="186"/>
      <c r="OEQ1" s="186"/>
      <c r="OER1" s="186"/>
      <c r="OES1" s="186"/>
      <c r="OET1" s="186"/>
      <c r="OEU1" s="186"/>
      <c r="OEV1" s="186"/>
      <c r="OEW1" s="186"/>
      <c r="OEX1" s="186"/>
      <c r="OEY1" s="186"/>
      <c r="OEZ1" s="186"/>
      <c r="OFA1" s="186"/>
      <c r="OFB1" s="186"/>
      <c r="OFC1" s="186"/>
      <c r="OFD1" s="186"/>
      <c r="OFE1" s="186"/>
      <c r="OFF1" s="186"/>
      <c r="OFG1" s="186"/>
      <c r="OFH1" s="186"/>
      <c r="OFI1" s="186"/>
      <c r="OFJ1" s="186"/>
      <c r="OFK1" s="186"/>
      <c r="OFL1" s="186"/>
      <c r="OFM1" s="186"/>
      <c r="OFN1" s="186"/>
      <c r="OFO1" s="186"/>
      <c r="OFP1" s="186"/>
      <c r="OFQ1" s="186"/>
      <c r="OFR1" s="186"/>
      <c r="OFS1" s="186"/>
      <c r="OFT1" s="186"/>
      <c r="OFU1" s="186"/>
      <c r="OFV1" s="186"/>
      <c r="OFW1" s="186"/>
      <c r="OFX1" s="186"/>
      <c r="OFY1" s="186"/>
      <c r="OFZ1" s="186"/>
      <c r="OGA1" s="186"/>
      <c r="OGB1" s="186"/>
      <c r="OGC1" s="186"/>
      <c r="OGD1" s="186"/>
      <c r="OGE1" s="186"/>
      <c r="OGF1" s="186"/>
      <c r="OGG1" s="186"/>
      <c r="OGH1" s="186"/>
      <c r="OGI1" s="186"/>
      <c r="OGJ1" s="186"/>
      <c r="OGK1" s="186"/>
      <c r="OGL1" s="186"/>
      <c r="OGM1" s="186"/>
      <c r="OGN1" s="186"/>
      <c r="OGO1" s="186"/>
      <c r="OGP1" s="186"/>
      <c r="OGQ1" s="186"/>
      <c r="OGR1" s="186"/>
      <c r="OGS1" s="186"/>
      <c r="OGT1" s="186"/>
      <c r="OGU1" s="186"/>
      <c r="OGV1" s="186"/>
      <c r="OGW1" s="186"/>
      <c r="OGX1" s="186"/>
      <c r="OGY1" s="186"/>
      <c r="OGZ1" s="186"/>
      <c r="OHA1" s="186"/>
      <c r="OHB1" s="186"/>
      <c r="OHC1" s="186"/>
      <c r="OHD1" s="186"/>
      <c r="OHE1" s="186"/>
      <c r="OHF1" s="186"/>
      <c r="OHG1" s="186"/>
      <c r="OHH1" s="186"/>
      <c r="OHI1" s="186"/>
      <c r="OHJ1" s="186"/>
      <c r="OHK1" s="186"/>
      <c r="OHL1" s="186"/>
      <c r="OHM1" s="186"/>
      <c r="OHN1" s="186"/>
      <c r="OHO1" s="186"/>
      <c r="OHP1" s="186"/>
      <c r="OHQ1" s="186"/>
      <c r="OHR1" s="186"/>
      <c r="OHS1" s="186"/>
      <c r="OHT1" s="186"/>
      <c r="OHU1" s="186"/>
      <c r="OHV1" s="186"/>
      <c r="OHW1" s="186"/>
      <c r="OHX1" s="186"/>
      <c r="OHY1" s="186"/>
      <c r="OHZ1" s="186"/>
      <c r="OIA1" s="186"/>
      <c r="OIB1" s="186"/>
      <c r="OIC1" s="186"/>
      <c r="OID1" s="186"/>
      <c r="OIE1" s="186"/>
      <c r="OIF1" s="186"/>
      <c r="OIG1" s="186"/>
      <c r="OIH1" s="186"/>
      <c r="OII1" s="186"/>
      <c r="OIJ1" s="186"/>
      <c r="OIK1" s="186"/>
      <c r="OIL1" s="186"/>
      <c r="OIM1" s="186"/>
      <c r="OIN1" s="186"/>
      <c r="OIO1" s="186"/>
      <c r="OIP1" s="186"/>
      <c r="OIQ1" s="186"/>
      <c r="OIR1" s="186"/>
      <c r="OIS1" s="186"/>
      <c r="OIT1" s="186"/>
      <c r="OIU1" s="186"/>
      <c r="OIV1" s="186"/>
      <c r="OIW1" s="186"/>
      <c r="OIX1" s="186"/>
      <c r="OIY1" s="186"/>
      <c r="OIZ1" s="186"/>
      <c r="OJA1" s="186"/>
      <c r="OJB1" s="186"/>
      <c r="OJC1" s="186"/>
      <c r="OJD1" s="186"/>
      <c r="OJE1" s="186"/>
      <c r="OJF1" s="186"/>
      <c r="OJG1" s="186"/>
      <c r="OJH1" s="186"/>
      <c r="OJI1" s="186"/>
      <c r="OJJ1" s="186"/>
      <c r="OJK1" s="186"/>
      <c r="OJL1" s="186"/>
      <c r="OJM1" s="186"/>
      <c r="OJN1" s="186"/>
      <c r="OJO1" s="186"/>
      <c r="OJP1" s="186"/>
      <c r="OJQ1" s="186"/>
      <c r="OJR1" s="186"/>
      <c r="OJS1" s="186"/>
      <c r="OJT1" s="186"/>
      <c r="OJU1" s="186"/>
      <c r="OJV1" s="186"/>
      <c r="OJW1" s="186"/>
      <c r="OJX1" s="186"/>
      <c r="OJY1" s="186"/>
      <c r="OJZ1" s="186"/>
      <c r="OKA1" s="186"/>
      <c r="OKB1" s="186"/>
      <c r="OKC1" s="186"/>
      <c r="OKD1" s="186"/>
      <c r="OKE1" s="186"/>
      <c r="OKF1" s="186"/>
      <c r="OKG1" s="186"/>
      <c r="OKH1" s="186"/>
      <c r="OKI1" s="186"/>
      <c r="OKJ1" s="186"/>
      <c r="OKK1" s="186"/>
      <c r="OKL1" s="186"/>
      <c r="OKM1" s="186"/>
      <c r="OKN1" s="186"/>
      <c r="OKO1" s="186"/>
      <c r="OKP1" s="186"/>
      <c r="OKQ1" s="186"/>
      <c r="OKR1" s="186"/>
      <c r="OKS1" s="186"/>
      <c r="OKT1" s="186"/>
      <c r="OKU1" s="186"/>
      <c r="OKV1" s="186"/>
      <c r="OKW1" s="186"/>
      <c r="OKX1" s="186"/>
      <c r="OKY1" s="186"/>
      <c r="OKZ1" s="186"/>
      <c r="OLA1" s="186"/>
      <c r="OLB1" s="186"/>
      <c r="OLC1" s="186"/>
      <c r="OLD1" s="186"/>
      <c r="OLE1" s="186"/>
      <c r="OLF1" s="186"/>
      <c r="OLG1" s="186"/>
      <c r="OLH1" s="186"/>
      <c r="OLI1" s="186"/>
      <c r="OLJ1" s="186"/>
      <c r="OLK1" s="186"/>
      <c r="OLL1" s="186"/>
      <c r="OLM1" s="186"/>
      <c r="OLN1" s="186"/>
      <c r="OLO1" s="186"/>
      <c r="OLP1" s="186"/>
      <c r="OLQ1" s="186"/>
      <c r="OLR1" s="186"/>
      <c r="OLS1" s="186"/>
      <c r="OLT1" s="186"/>
      <c r="OLU1" s="186"/>
      <c r="OLV1" s="186"/>
      <c r="OLW1" s="186"/>
      <c r="OLX1" s="186"/>
      <c r="OLY1" s="186"/>
      <c r="OLZ1" s="186"/>
      <c r="OMA1" s="186"/>
      <c r="OMB1" s="186"/>
      <c r="OMC1" s="186"/>
      <c r="OMD1" s="186"/>
      <c r="OME1" s="186"/>
      <c r="OMF1" s="186"/>
      <c r="OMG1" s="186"/>
      <c r="OMH1" s="186"/>
      <c r="OMI1" s="186"/>
      <c r="OMJ1" s="186"/>
      <c r="OMK1" s="186"/>
      <c r="OML1" s="186"/>
      <c r="OMM1" s="186"/>
      <c r="OMN1" s="186"/>
      <c r="OMO1" s="186"/>
      <c r="OMP1" s="186"/>
      <c r="OMQ1" s="186"/>
      <c r="OMR1" s="186"/>
      <c r="OMS1" s="186"/>
      <c r="OMT1" s="186"/>
      <c r="OMU1" s="186"/>
      <c r="OMV1" s="186"/>
      <c r="OMW1" s="186"/>
      <c r="OMX1" s="186"/>
      <c r="OMY1" s="186"/>
      <c r="OMZ1" s="186"/>
      <c r="ONA1" s="186"/>
      <c r="ONB1" s="186"/>
      <c r="ONC1" s="186"/>
      <c r="OND1" s="186"/>
      <c r="ONE1" s="186"/>
      <c r="ONF1" s="186"/>
      <c r="ONG1" s="186"/>
      <c r="ONH1" s="186"/>
      <c r="ONI1" s="186"/>
      <c r="ONJ1" s="186"/>
      <c r="ONK1" s="186"/>
      <c r="ONL1" s="186"/>
      <c r="ONM1" s="186"/>
      <c r="ONN1" s="186"/>
      <c r="ONO1" s="186"/>
      <c r="ONP1" s="186"/>
      <c r="ONQ1" s="186"/>
      <c r="ONR1" s="186"/>
      <c r="ONS1" s="186"/>
      <c r="ONT1" s="186"/>
      <c r="ONU1" s="186"/>
      <c r="ONV1" s="186"/>
      <c r="ONW1" s="186"/>
      <c r="ONX1" s="186"/>
      <c r="ONY1" s="186"/>
      <c r="ONZ1" s="186"/>
      <c r="OOA1" s="186"/>
      <c r="OOB1" s="186"/>
      <c r="OOC1" s="186"/>
      <c r="OOD1" s="186"/>
      <c r="OOE1" s="186"/>
      <c r="OOF1" s="186"/>
      <c r="OOG1" s="186"/>
      <c r="OOH1" s="186"/>
      <c r="OOI1" s="186"/>
      <c r="OOJ1" s="186"/>
      <c r="OOK1" s="186"/>
      <c r="OOL1" s="186"/>
      <c r="OOM1" s="186"/>
      <c r="OON1" s="186"/>
      <c r="OOO1" s="186"/>
      <c r="OOP1" s="186"/>
      <c r="OOQ1" s="186"/>
      <c r="OOR1" s="186"/>
      <c r="OOS1" s="186"/>
      <c r="OOT1" s="186"/>
      <c r="OOU1" s="186"/>
      <c r="OOV1" s="186"/>
      <c r="OOW1" s="186"/>
      <c r="OOX1" s="186"/>
      <c r="OOY1" s="186"/>
      <c r="OOZ1" s="186"/>
      <c r="OPA1" s="186"/>
      <c r="OPB1" s="186"/>
      <c r="OPC1" s="186"/>
      <c r="OPD1" s="186"/>
      <c r="OPE1" s="186"/>
      <c r="OPF1" s="186"/>
      <c r="OPG1" s="186"/>
      <c r="OPH1" s="186"/>
      <c r="OPI1" s="186"/>
      <c r="OPJ1" s="186"/>
      <c r="OPK1" s="186"/>
      <c r="OPL1" s="186"/>
      <c r="OPM1" s="186"/>
      <c r="OPN1" s="186"/>
      <c r="OPO1" s="186"/>
      <c r="OPP1" s="186"/>
      <c r="OPQ1" s="186"/>
      <c r="OPR1" s="186"/>
      <c r="OPS1" s="186"/>
      <c r="OPT1" s="186"/>
      <c r="OPU1" s="186"/>
      <c r="OPV1" s="186"/>
      <c r="OPW1" s="186"/>
      <c r="OPX1" s="186"/>
      <c r="OPY1" s="186"/>
      <c r="OPZ1" s="186"/>
      <c r="OQA1" s="186"/>
      <c r="OQB1" s="186"/>
      <c r="OQC1" s="186"/>
      <c r="OQD1" s="186"/>
      <c r="OQE1" s="186"/>
      <c r="OQF1" s="186"/>
      <c r="OQG1" s="186"/>
      <c r="OQH1" s="186"/>
      <c r="OQI1" s="186"/>
      <c r="OQJ1" s="186"/>
      <c r="OQK1" s="186"/>
      <c r="OQL1" s="186"/>
      <c r="OQM1" s="186"/>
      <c r="OQN1" s="186"/>
      <c r="OQO1" s="186"/>
      <c r="OQP1" s="186"/>
      <c r="OQQ1" s="186"/>
      <c r="OQR1" s="186"/>
      <c r="OQS1" s="186"/>
      <c r="OQT1" s="186"/>
      <c r="OQU1" s="186"/>
      <c r="OQV1" s="186"/>
      <c r="OQW1" s="186"/>
      <c r="OQX1" s="186"/>
      <c r="OQY1" s="186"/>
      <c r="OQZ1" s="186"/>
      <c r="ORA1" s="186"/>
      <c r="ORB1" s="186"/>
      <c r="ORC1" s="186"/>
      <c r="ORD1" s="186"/>
      <c r="ORE1" s="186"/>
      <c r="ORF1" s="186"/>
      <c r="ORG1" s="186"/>
      <c r="ORH1" s="186"/>
      <c r="ORI1" s="186"/>
      <c r="ORJ1" s="186"/>
      <c r="ORK1" s="186"/>
      <c r="ORL1" s="186"/>
      <c r="ORM1" s="186"/>
      <c r="ORN1" s="186"/>
      <c r="ORO1" s="186"/>
      <c r="ORP1" s="186"/>
      <c r="ORQ1" s="186"/>
      <c r="ORR1" s="186"/>
      <c r="ORS1" s="186"/>
      <c r="ORT1" s="186"/>
      <c r="ORU1" s="186"/>
      <c r="ORV1" s="186"/>
      <c r="ORW1" s="186"/>
      <c r="ORX1" s="186"/>
      <c r="ORY1" s="186"/>
      <c r="ORZ1" s="186"/>
      <c r="OSA1" s="186"/>
      <c r="OSB1" s="186"/>
      <c r="OSC1" s="186"/>
      <c r="OSD1" s="186"/>
      <c r="OSE1" s="186"/>
      <c r="OSF1" s="186"/>
      <c r="OSG1" s="186"/>
      <c r="OSH1" s="186"/>
      <c r="OSI1" s="186"/>
      <c r="OSJ1" s="186"/>
      <c r="OSK1" s="186"/>
      <c r="OSL1" s="186"/>
      <c r="OSM1" s="186"/>
      <c r="OSN1" s="186"/>
      <c r="OSO1" s="186"/>
      <c r="OSP1" s="186"/>
      <c r="OSQ1" s="186"/>
      <c r="OSR1" s="186"/>
      <c r="OSS1" s="186"/>
      <c r="OST1" s="186"/>
      <c r="OSU1" s="186"/>
      <c r="OSV1" s="186"/>
      <c r="OSW1" s="186"/>
      <c r="OSX1" s="186"/>
      <c r="OSY1" s="186"/>
      <c r="OSZ1" s="186"/>
      <c r="OTA1" s="186"/>
      <c r="OTB1" s="186"/>
      <c r="OTC1" s="186"/>
      <c r="OTD1" s="186"/>
      <c r="OTE1" s="186"/>
      <c r="OTF1" s="186"/>
      <c r="OTG1" s="186"/>
      <c r="OTH1" s="186"/>
      <c r="OTI1" s="186"/>
      <c r="OTJ1" s="186"/>
      <c r="OTK1" s="186"/>
      <c r="OTL1" s="186"/>
      <c r="OTM1" s="186"/>
      <c r="OTN1" s="186"/>
      <c r="OTO1" s="186"/>
      <c r="OTP1" s="186"/>
      <c r="OTQ1" s="186"/>
      <c r="OTR1" s="186"/>
      <c r="OTS1" s="186"/>
      <c r="OTT1" s="186"/>
      <c r="OTU1" s="186"/>
      <c r="OTV1" s="186"/>
      <c r="OTW1" s="186"/>
      <c r="OTX1" s="186"/>
      <c r="OTY1" s="186"/>
      <c r="OTZ1" s="186"/>
      <c r="OUA1" s="186"/>
      <c r="OUB1" s="186"/>
      <c r="OUC1" s="186"/>
      <c r="OUD1" s="186"/>
      <c r="OUE1" s="186"/>
      <c r="OUF1" s="186"/>
      <c r="OUG1" s="186"/>
      <c r="OUH1" s="186"/>
      <c r="OUI1" s="186"/>
      <c r="OUJ1" s="186"/>
      <c r="OUK1" s="186"/>
      <c r="OUL1" s="186"/>
      <c r="OUM1" s="186"/>
      <c r="OUN1" s="186"/>
      <c r="OUO1" s="186"/>
      <c r="OUP1" s="186"/>
      <c r="OUQ1" s="186"/>
      <c r="OUR1" s="186"/>
      <c r="OUS1" s="186"/>
      <c r="OUT1" s="186"/>
      <c r="OUU1" s="186"/>
      <c r="OUV1" s="186"/>
      <c r="OUW1" s="186"/>
      <c r="OUX1" s="186"/>
      <c r="OUY1" s="186"/>
      <c r="OUZ1" s="186"/>
      <c r="OVA1" s="186"/>
      <c r="OVB1" s="186"/>
      <c r="OVC1" s="186"/>
      <c r="OVD1" s="186"/>
      <c r="OVE1" s="186"/>
      <c r="OVF1" s="186"/>
      <c r="OVG1" s="186"/>
      <c r="OVH1" s="186"/>
      <c r="OVI1" s="186"/>
      <c r="OVJ1" s="186"/>
      <c r="OVK1" s="186"/>
      <c r="OVL1" s="186"/>
      <c r="OVM1" s="186"/>
      <c r="OVN1" s="186"/>
      <c r="OVO1" s="186"/>
      <c r="OVP1" s="186"/>
      <c r="OVQ1" s="186"/>
      <c r="OVR1" s="186"/>
      <c r="OVS1" s="186"/>
      <c r="OVT1" s="186"/>
      <c r="OVU1" s="186"/>
      <c r="OVV1" s="186"/>
      <c r="OVW1" s="186"/>
      <c r="OVX1" s="186"/>
      <c r="OVY1" s="186"/>
      <c r="OVZ1" s="186"/>
      <c r="OWA1" s="186"/>
      <c r="OWB1" s="186"/>
      <c r="OWC1" s="186"/>
      <c r="OWD1" s="186"/>
      <c r="OWE1" s="186"/>
      <c r="OWF1" s="186"/>
      <c r="OWG1" s="186"/>
      <c r="OWH1" s="186"/>
      <c r="OWI1" s="186"/>
      <c r="OWJ1" s="186"/>
      <c r="OWK1" s="186"/>
      <c r="OWL1" s="186"/>
      <c r="OWM1" s="186"/>
      <c r="OWN1" s="186"/>
      <c r="OWO1" s="186"/>
      <c r="OWP1" s="186"/>
      <c r="OWQ1" s="186"/>
      <c r="OWR1" s="186"/>
      <c r="OWS1" s="186"/>
      <c r="OWT1" s="186"/>
      <c r="OWU1" s="186"/>
      <c r="OWV1" s="186"/>
      <c r="OWW1" s="186"/>
      <c r="OWX1" s="186"/>
      <c r="OWY1" s="186"/>
      <c r="OWZ1" s="186"/>
      <c r="OXA1" s="186"/>
      <c r="OXB1" s="186"/>
      <c r="OXC1" s="186"/>
      <c r="OXD1" s="186"/>
      <c r="OXE1" s="186"/>
      <c r="OXF1" s="186"/>
      <c r="OXG1" s="186"/>
      <c r="OXH1" s="186"/>
      <c r="OXI1" s="186"/>
      <c r="OXJ1" s="186"/>
      <c r="OXK1" s="186"/>
      <c r="OXL1" s="186"/>
      <c r="OXM1" s="186"/>
      <c r="OXN1" s="186"/>
      <c r="OXO1" s="186"/>
      <c r="OXP1" s="186"/>
      <c r="OXQ1" s="186"/>
      <c r="OXR1" s="186"/>
      <c r="OXS1" s="186"/>
      <c r="OXT1" s="186"/>
      <c r="OXU1" s="186"/>
      <c r="OXV1" s="186"/>
      <c r="OXW1" s="186"/>
      <c r="OXX1" s="186"/>
      <c r="OXY1" s="186"/>
      <c r="OXZ1" s="186"/>
      <c r="OYA1" s="186"/>
      <c r="OYB1" s="186"/>
      <c r="OYC1" s="186"/>
      <c r="OYD1" s="186"/>
      <c r="OYE1" s="186"/>
      <c r="OYF1" s="186"/>
      <c r="OYG1" s="186"/>
      <c r="OYH1" s="186"/>
      <c r="OYI1" s="186"/>
      <c r="OYJ1" s="186"/>
      <c r="OYK1" s="186"/>
      <c r="OYL1" s="186"/>
      <c r="OYM1" s="186"/>
      <c r="OYN1" s="186"/>
      <c r="OYO1" s="186"/>
      <c r="OYP1" s="186"/>
      <c r="OYQ1" s="186"/>
      <c r="OYR1" s="186"/>
      <c r="OYS1" s="186"/>
      <c r="OYT1" s="186"/>
      <c r="OYU1" s="186"/>
      <c r="OYV1" s="186"/>
      <c r="OYW1" s="186"/>
      <c r="OYX1" s="186"/>
      <c r="OYY1" s="186"/>
      <c r="OYZ1" s="186"/>
      <c r="OZA1" s="186"/>
      <c r="OZB1" s="186"/>
      <c r="OZC1" s="186"/>
      <c r="OZD1" s="186"/>
      <c r="OZE1" s="186"/>
      <c r="OZF1" s="186"/>
      <c r="OZG1" s="186"/>
      <c r="OZH1" s="186"/>
      <c r="OZI1" s="186"/>
      <c r="OZJ1" s="186"/>
      <c r="OZK1" s="186"/>
      <c r="OZL1" s="186"/>
      <c r="OZM1" s="186"/>
      <c r="OZN1" s="186"/>
      <c r="OZO1" s="186"/>
      <c r="OZP1" s="186"/>
      <c r="OZQ1" s="186"/>
      <c r="OZR1" s="186"/>
      <c r="OZS1" s="186"/>
      <c r="OZT1" s="186"/>
      <c r="OZU1" s="186"/>
      <c r="OZV1" s="186"/>
      <c r="OZW1" s="186"/>
      <c r="OZX1" s="186"/>
      <c r="OZY1" s="186"/>
      <c r="OZZ1" s="186"/>
      <c r="PAA1" s="186"/>
      <c r="PAB1" s="186"/>
      <c r="PAC1" s="186"/>
      <c r="PAD1" s="186"/>
      <c r="PAE1" s="186"/>
      <c r="PAF1" s="186"/>
      <c r="PAG1" s="186"/>
      <c r="PAH1" s="186"/>
      <c r="PAI1" s="186"/>
      <c r="PAJ1" s="186"/>
      <c r="PAK1" s="186"/>
      <c r="PAL1" s="186"/>
      <c r="PAM1" s="186"/>
      <c r="PAN1" s="186"/>
      <c r="PAO1" s="186"/>
      <c r="PAP1" s="186"/>
      <c r="PAQ1" s="186"/>
      <c r="PAR1" s="186"/>
      <c r="PAS1" s="186"/>
      <c r="PAT1" s="186"/>
      <c r="PAU1" s="186"/>
      <c r="PAV1" s="186"/>
      <c r="PAW1" s="186"/>
      <c r="PAX1" s="186"/>
      <c r="PAY1" s="186"/>
      <c r="PAZ1" s="186"/>
      <c r="PBA1" s="186"/>
      <c r="PBB1" s="186"/>
      <c r="PBC1" s="186"/>
      <c r="PBD1" s="186"/>
      <c r="PBE1" s="186"/>
      <c r="PBF1" s="186"/>
      <c r="PBG1" s="186"/>
      <c r="PBH1" s="186"/>
      <c r="PBI1" s="186"/>
      <c r="PBJ1" s="186"/>
      <c r="PBK1" s="186"/>
      <c r="PBL1" s="186"/>
      <c r="PBM1" s="186"/>
      <c r="PBN1" s="186"/>
      <c r="PBO1" s="186"/>
      <c r="PBP1" s="186"/>
      <c r="PBQ1" s="186"/>
      <c r="PBR1" s="186"/>
      <c r="PBS1" s="186"/>
      <c r="PBT1" s="186"/>
      <c r="PBU1" s="186"/>
      <c r="PBV1" s="186"/>
      <c r="PBW1" s="186"/>
      <c r="PBX1" s="186"/>
      <c r="PBY1" s="186"/>
      <c r="PBZ1" s="186"/>
      <c r="PCA1" s="186"/>
      <c r="PCB1" s="186"/>
      <c r="PCC1" s="186"/>
      <c r="PCD1" s="186"/>
      <c r="PCE1" s="186"/>
      <c r="PCF1" s="186"/>
      <c r="PCG1" s="186"/>
      <c r="PCH1" s="186"/>
      <c r="PCI1" s="186"/>
      <c r="PCJ1" s="186"/>
      <c r="PCK1" s="186"/>
      <c r="PCL1" s="186"/>
      <c r="PCM1" s="186"/>
      <c r="PCN1" s="186"/>
      <c r="PCO1" s="186"/>
      <c r="PCP1" s="186"/>
      <c r="PCQ1" s="186"/>
      <c r="PCR1" s="186"/>
      <c r="PCS1" s="186"/>
      <c r="PCT1" s="186"/>
      <c r="PCU1" s="186"/>
      <c r="PCV1" s="186"/>
      <c r="PCW1" s="186"/>
      <c r="PCX1" s="186"/>
      <c r="PCY1" s="186"/>
      <c r="PCZ1" s="186"/>
      <c r="PDA1" s="186"/>
      <c r="PDB1" s="186"/>
      <c r="PDC1" s="186"/>
      <c r="PDD1" s="186"/>
      <c r="PDE1" s="186"/>
      <c r="PDF1" s="186"/>
      <c r="PDG1" s="186"/>
      <c r="PDH1" s="186"/>
      <c r="PDI1" s="186"/>
      <c r="PDJ1" s="186"/>
      <c r="PDK1" s="186"/>
      <c r="PDL1" s="186"/>
      <c r="PDM1" s="186"/>
      <c r="PDN1" s="186"/>
      <c r="PDO1" s="186"/>
      <c r="PDP1" s="186"/>
      <c r="PDQ1" s="186"/>
      <c r="PDR1" s="186"/>
      <c r="PDS1" s="186"/>
      <c r="PDT1" s="186"/>
      <c r="PDU1" s="186"/>
      <c r="PDV1" s="186"/>
      <c r="PDW1" s="186"/>
      <c r="PDX1" s="186"/>
      <c r="PDY1" s="186"/>
      <c r="PDZ1" s="186"/>
      <c r="PEA1" s="186"/>
      <c r="PEB1" s="186"/>
      <c r="PEC1" s="186"/>
      <c r="PED1" s="186"/>
      <c r="PEE1" s="186"/>
      <c r="PEF1" s="186"/>
      <c r="PEG1" s="186"/>
      <c r="PEH1" s="186"/>
      <c r="PEI1" s="186"/>
      <c r="PEJ1" s="186"/>
      <c r="PEK1" s="186"/>
      <c r="PEL1" s="186"/>
      <c r="PEM1" s="186"/>
      <c r="PEN1" s="186"/>
      <c r="PEO1" s="186"/>
      <c r="PEP1" s="186"/>
      <c r="PEQ1" s="186"/>
      <c r="PER1" s="186"/>
      <c r="PES1" s="186"/>
      <c r="PET1" s="186"/>
      <c r="PEU1" s="186"/>
      <c r="PEV1" s="186"/>
      <c r="PEW1" s="186"/>
      <c r="PEX1" s="186"/>
      <c r="PEY1" s="186"/>
      <c r="PEZ1" s="186"/>
      <c r="PFA1" s="186"/>
      <c r="PFB1" s="186"/>
      <c r="PFC1" s="186"/>
      <c r="PFD1" s="186"/>
      <c r="PFE1" s="186"/>
      <c r="PFF1" s="186"/>
      <c r="PFG1" s="186"/>
      <c r="PFH1" s="186"/>
      <c r="PFI1" s="186"/>
      <c r="PFJ1" s="186"/>
      <c r="PFK1" s="186"/>
      <c r="PFL1" s="186"/>
      <c r="PFM1" s="186"/>
      <c r="PFN1" s="186"/>
      <c r="PFO1" s="186"/>
      <c r="PFP1" s="186"/>
      <c r="PFQ1" s="186"/>
      <c r="PFR1" s="186"/>
      <c r="PFS1" s="186"/>
      <c r="PFT1" s="186"/>
      <c r="PFU1" s="186"/>
      <c r="PFV1" s="186"/>
      <c r="PFW1" s="186"/>
      <c r="PFX1" s="186"/>
      <c r="PFY1" s="186"/>
      <c r="PFZ1" s="186"/>
      <c r="PGA1" s="186"/>
      <c r="PGB1" s="186"/>
      <c r="PGC1" s="186"/>
      <c r="PGD1" s="186"/>
      <c r="PGE1" s="186"/>
      <c r="PGF1" s="186"/>
      <c r="PGG1" s="186"/>
      <c r="PGH1" s="186"/>
      <c r="PGI1" s="186"/>
      <c r="PGJ1" s="186"/>
      <c r="PGK1" s="186"/>
      <c r="PGL1" s="186"/>
      <c r="PGM1" s="186"/>
      <c r="PGN1" s="186"/>
      <c r="PGO1" s="186"/>
      <c r="PGP1" s="186"/>
      <c r="PGQ1" s="186"/>
      <c r="PGR1" s="186"/>
      <c r="PGS1" s="186"/>
      <c r="PGT1" s="186"/>
      <c r="PGU1" s="186"/>
      <c r="PGV1" s="186"/>
      <c r="PGW1" s="186"/>
      <c r="PGX1" s="186"/>
      <c r="PGY1" s="186"/>
      <c r="PGZ1" s="186"/>
      <c r="PHA1" s="186"/>
      <c r="PHB1" s="186"/>
      <c r="PHC1" s="186"/>
      <c r="PHD1" s="186"/>
      <c r="PHE1" s="186"/>
      <c r="PHF1" s="186"/>
      <c r="PHG1" s="186"/>
      <c r="PHH1" s="186"/>
      <c r="PHI1" s="186"/>
      <c r="PHJ1" s="186"/>
      <c r="PHK1" s="186"/>
      <c r="PHL1" s="186"/>
      <c r="PHM1" s="186"/>
      <c r="PHN1" s="186"/>
      <c r="PHO1" s="186"/>
      <c r="PHP1" s="186"/>
      <c r="PHQ1" s="186"/>
      <c r="PHR1" s="186"/>
      <c r="PHS1" s="186"/>
      <c r="PHT1" s="186"/>
      <c r="PHU1" s="186"/>
      <c r="PHV1" s="186"/>
      <c r="PHW1" s="186"/>
      <c r="PHX1" s="186"/>
      <c r="PHY1" s="186"/>
      <c r="PHZ1" s="186"/>
      <c r="PIA1" s="186"/>
      <c r="PIB1" s="186"/>
      <c r="PIC1" s="186"/>
      <c r="PID1" s="186"/>
      <c r="PIE1" s="186"/>
      <c r="PIF1" s="186"/>
      <c r="PIG1" s="186"/>
      <c r="PIH1" s="186"/>
      <c r="PII1" s="186"/>
      <c r="PIJ1" s="186"/>
      <c r="PIK1" s="186"/>
      <c r="PIL1" s="186"/>
      <c r="PIM1" s="186"/>
      <c r="PIN1" s="186"/>
      <c r="PIO1" s="186"/>
      <c r="PIP1" s="186"/>
      <c r="PIQ1" s="186"/>
      <c r="PIR1" s="186"/>
      <c r="PIS1" s="186"/>
      <c r="PIT1" s="186"/>
      <c r="PIU1" s="186"/>
      <c r="PIV1" s="186"/>
      <c r="PIW1" s="186"/>
      <c r="PIX1" s="186"/>
      <c r="PIY1" s="186"/>
      <c r="PIZ1" s="186"/>
      <c r="PJA1" s="186"/>
      <c r="PJB1" s="186"/>
      <c r="PJC1" s="186"/>
      <c r="PJD1" s="186"/>
      <c r="PJE1" s="186"/>
      <c r="PJF1" s="186"/>
      <c r="PJG1" s="186"/>
      <c r="PJH1" s="186"/>
      <c r="PJI1" s="186"/>
      <c r="PJJ1" s="186"/>
      <c r="PJK1" s="186"/>
      <c r="PJL1" s="186"/>
      <c r="PJM1" s="186"/>
      <c r="PJN1" s="186"/>
      <c r="PJO1" s="186"/>
      <c r="PJP1" s="186"/>
      <c r="PJQ1" s="186"/>
      <c r="PJR1" s="186"/>
      <c r="PJS1" s="186"/>
      <c r="PJT1" s="186"/>
      <c r="PJU1" s="186"/>
      <c r="PJV1" s="186"/>
      <c r="PJW1" s="186"/>
      <c r="PJX1" s="186"/>
      <c r="PJY1" s="186"/>
      <c r="PJZ1" s="186"/>
      <c r="PKA1" s="186"/>
      <c r="PKB1" s="186"/>
      <c r="PKC1" s="186"/>
      <c r="PKD1" s="186"/>
      <c r="PKE1" s="186"/>
      <c r="PKF1" s="186"/>
      <c r="PKG1" s="186"/>
      <c r="PKH1" s="186"/>
      <c r="PKI1" s="186"/>
      <c r="PKJ1" s="186"/>
      <c r="PKK1" s="186"/>
      <c r="PKL1" s="186"/>
      <c r="PKM1" s="186"/>
      <c r="PKN1" s="186"/>
      <c r="PKO1" s="186"/>
      <c r="PKP1" s="186"/>
      <c r="PKQ1" s="186"/>
      <c r="PKR1" s="186"/>
      <c r="PKS1" s="186"/>
      <c r="PKT1" s="186"/>
      <c r="PKU1" s="186"/>
      <c r="PKV1" s="186"/>
      <c r="PKW1" s="186"/>
      <c r="PKX1" s="186"/>
      <c r="PKY1" s="186"/>
      <c r="PKZ1" s="186"/>
      <c r="PLA1" s="186"/>
      <c r="PLB1" s="186"/>
      <c r="PLC1" s="186"/>
      <c r="PLD1" s="186"/>
      <c r="PLE1" s="186"/>
      <c r="PLF1" s="186"/>
      <c r="PLG1" s="186"/>
      <c r="PLH1" s="186"/>
      <c r="PLI1" s="186"/>
      <c r="PLJ1" s="186"/>
      <c r="PLK1" s="186"/>
      <c r="PLL1" s="186"/>
      <c r="PLM1" s="186"/>
      <c r="PLN1" s="186"/>
      <c r="PLO1" s="186"/>
      <c r="PLP1" s="186"/>
      <c r="PLQ1" s="186"/>
      <c r="PLR1" s="186"/>
      <c r="PLS1" s="186"/>
      <c r="PLT1" s="186"/>
      <c r="PLU1" s="186"/>
      <c r="PLV1" s="186"/>
      <c r="PLW1" s="186"/>
      <c r="PLX1" s="186"/>
      <c r="PLY1" s="186"/>
      <c r="PLZ1" s="186"/>
      <c r="PMA1" s="186"/>
      <c r="PMB1" s="186"/>
      <c r="PMC1" s="186"/>
      <c r="PMD1" s="186"/>
      <c r="PME1" s="186"/>
      <c r="PMF1" s="186"/>
      <c r="PMG1" s="186"/>
      <c r="PMH1" s="186"/>
      <c r="PMI1" s="186"/>
      <c r="PMJ1" s="186"/>
      <c r="PMK1" s="186"/>
      <c r="PML1" s="186"/>
      <c r="PMM1" s="186"/>
      <c r="PMN1" s="186"/>
      <c r="PMO1" s="186"/>
      <c r="PMP1" s="186"/>
      <c r="PMQ1" s="186"/>
      <c r="PMR1" s="186"/>
      <c r="PMS1" s="186"/>
      <c r="PMT1" s="186"/>
      <c r="PMU1" s="186"/>
      <c r="PMV1" s="186"/>
      <c r="PMW1" s="186"/>
      <c r="PMX1" s="186"/>
      <c r="PMY1" s="186"/>
      <c r="PMZ1" s="186"/>
      <c r="PNA1" s="186"/>
      <c r="PNB1" s="186"/>
      <c r="PNC1" s="186"/>
      <c r="PND1" s="186"/>
      <c r="PNE1" s="186"/>
      <c r="PNF1" s="186"/>
      <c r="PNG1" s="186"/>
      <c r="PNH1" s="186"/>
      <c r="PNI1" s="186"/>
      <c r="PNJ1" s="186"/>
      <c r="PNK1" s="186"/>
      <c r="PNL1" s="186"/>
      <c r="PNM1" s="186"/>
      <c r="PNN1" s="186"/>
      <c r="PNO1" s="186"/>
      <c r="PNP1" s="186"/>
      <c r="PNQ1" s="186"/>
      <c r="PNR1" s="186"/>
      <c r="PNS1" s="186"/>
      <c r="PNT1" s="186"/>
      <c r="PNU1" s="186"/>
      <c r="PNV1" s="186"/>
      <c r="PNW1" s="186"/>
      <c r="PNX1" s="186"/>
      <c r="PNY1" s="186"/>
      <c r="PNZ1" s="186"/>
      <c r="POA1" s="186"/>
      <c r="POB1" s="186"/>
      <c r="POC1" s="186"/>
      <c r="POD1" s="186"/>
      <c r="POE1" s="186"/>
      <c r="POF1" s="186"/>
      <c r="POG1" s="186"/>
      <c r="POH1" s="186"/>
      <c r="POI1" s="186"/>
      <c r="POJ1" s="186"/>
      <c r="POK1" s="186"/>
      <c r="POL1" s="186"/>
      <c r="POM1" s="186"/>
      <c r="PON1" s="186"/>
      <c r="POO1" s="186"/>
      <c r="POP1" s="186"/>
      <c r="POQ1" s="186"/>
      <c r="POR1" s="186"/>
      <c r="POS1" s="186"/>
      <c r="POT1" s="186"/>
      <c r="POU1" s="186"/>
      <c r="POV1" s="186"/>
      <c r="POW1" s="186"/>
      <c r="POX1" s="186"/>
      <c r="POY1" s="186"/>
      <c r="POZ1" s="186"/>
      <c r="PPA1" s="186"/>
      <c r="PPB1" s="186"/>
      <c r="PPC1" s="186"/>
      <c r="PPD1" s="186"/>
      <c r="PPE1" s="186"/>
      <c r="PPF1" s="186"/>
      <c r="PPG1" s="186"/>
      <c r="PPH1" s="186"/>
      <c r="PPI1" s="186"/>
      <c r="PPJ1" s="186"/>
      <c r="PPK1" s="186"/>
      <c r="PPL1" s="186"/>
      <c r="PPM1" s="186"/>
      <c r="PPN1" s="186"/>
      <c r="PPO1" s="186"/>
      <c r="PPP1" s="186"/>
      <c r="PPQ1" s="186"/>
      <c r="PPR1" s="186"/>
      <c r="PPS1" s="186"/>
      <c r="PPT1" s="186"/>
      <c r="PPU1" s="186"/>
      <c r="PPV1" s="186"/>
      <c r="PPW1" s="186"/>
      <c r="PPX1" s="186"/>
      <c r="PPY1" s="186"/>
      <c r="PPZ1" s="186"/>
      <c r="PQA1" s="186"/>
      <c r="PQB1" s="186"/>
      <c r="PQC1" s="186"/>
      <c r="PQD1" s="186"/>
      <c r="PQE1" s="186"/>
      <c r="PQF1" s="186"/>
      <c r="PQG1" s="186"/>
      <c r="PQH1" s="186"/>
      <c r="PQI1" s="186"/>
      <c r="PQJ1" s="186"/>
      <c r="PQK1" s="186"/>
      <c r="PQL1" s="186"/>
      <c r="PQM1" s="186"/>
      <c r="PQN1" s="186"/>
      <c r="PQO1" s="186"/>
      <c r="PQP1" s="186"/>
      <c r="PQQ1" s="186"/>
      <c r="PQR1" s="186"/>
      <c r="PQS1" s="186"/>
      <c r="PQT1" s="186"/>
      <c r="PQU1" s="186"/>
      <c r="PQV1" s="186"/>
      <c r="PQW1" s="186"/>
      <c r="PQX1" s="186"/>
      <c r="PQY1" s="186"/>
      <c r="PQZ1" s="186"/>
      <c r="PRA1" s="186"/>
      <c r="PRB1" s="186"/>
      <c r="PRC1" s="186"/>
      <c r="PRD1" s="186"/>
      <c r="PRE1" s="186"/>
      <c r="PRF1" s="186"/>
      <c r="PRG1" s="186"/>
      <c r="PRH1" s="186"/>
      <c r="PRI1" s="186"/>
      <c r="PRJ1" s="186"/>
      <c r="PRK1" s="186"/>
      <c r="PRL1" s="186"/>
      <c r="PRM1" s="186"/>
      <c r="PRN1" s="186"/>
      <c r="PRO1" s="186"/>
      <c r="PRP1" s="186"/>
      <c r="PRQ1" s="186"/>
      <c r="PRR1" s="186"/>
      <c r="PRS1" s="186"/>
      <c r="PRT1" s="186"/>
      <c r="PRU1" s="186"/>
      <c r="PRV1" s="186"/>
      <c r="PRW1" s="186"/>
      <c r="PRX1" s="186"/>
      <c r="PRY1" s="186"/>
      <c r="PRZ1" s="186"/>
      <c r="PSA1" s="186"/>
      <c r="PSB1" s="186"/>
      <c r="PSC1" s="186"/>
      <c r="PSD1" s="186"/>
      <c r="PSE1" s="186"/>
      <c r="PSF1" s="186"/>
      <c r="PSG1" s="186"/>
      <c r="PSH1" s="186"/>
      <c r="PSI1" s="186"/>
      <c r="PSJ1" s="186"/>
      <c r="PSK1" s="186"/>
      <c r="PSL1" s="186"/>
      <c r="PSM1" s="186"/>
      <c r="PSN1" s="186"/>
      <c r="PSO1" s="186"/>
      <c r="PSP1" s="186"/>
      <c r="PSQ1" s="186"/>
      <c r="PSR1" s="186"/>
      <c r="PSS1" s="186"/>
      <c r="PST1" s="186"/>
      <c r="PSU1" s="186"/>
      <c r="PSV1" s="186"/>
      <c r="PSW1" s="186"/>
      <c r="PSX1" s="186"/>
      <c r="PSY1" s="186"/>
      <c r="PSZ1" s="186"/>
      <c r="PTA1" s="186"/>
      <c r="PTB1" s="186"/>
      <c r="PTC1" s="186"/>
      <c r="PTD1" s="186"/>
      <c r="PTE1" s="186"/>
      <c r="PTF1" s="186"/>
      <c r="PTG1" s="186"/>
      <c r="PTH1" s="186"/>
      <c r="PTI1" s="186"/>
      <c r="PTJ1" s="186"/>
      <c r="PTK1" s="186"/>
      <c r="PTL1" s="186"/>
      <c r="PTM1" s="186"/>
      <c r="PTN1" s="186"/>
      <c r="PTO1" s="186"/>
      <c r="PTP1" s="186"/>
      <c r="PTQ1" s="186"/>
      <c r="PTR1" s="186"/>
      <c r="PTS1" s="186"/>
      <c r="PTT1" s="186"/>
      <c r="PTU1" s="186"/>
      <c r="PTV1" s="186"/>
      <c r="PTW1" s="186"/>
      <c r="PTX1" s="186"/>
      <c r="PTY1" s="186"/>
      <c r="PTZ1" s="186"/>
      <c r="PUA1" s="186"/>
      <c r="PUB1" s="186"/>
      <c r="PUC1" s="186"/>
      <c r="PUD1" s="186"/>
      <c r="PUE1" s="186"/>
      <c r="PUF1" s="186"/>
      <c r="PUG1" s="186"/>
      <c r="PUH1" s="186"/>
      <c r="PUI1" s="186"/>
      <c r="PUJ1" s="186"/>
      <c r="PUK1" s="186"/>
      <c r="PUL1" s="186"/>
      <c r="PUM1" s="186"/>
      <c r="PUN1" s="186"/>
      <c r="PUO1" s="186"/>
      <c r="PUP1" s="186"/>
      <c r="PUQ1" s="186"/>
      <c r="PUR1" s="186"/>
      <c r="PUS1" s="186"/>
      <c r="PUT1" s="186"/>
      <c r="PUU1" s="186"/>
      <c r="PUV1" s="186"/>
      <c r="PUW1" s="186"/>
      <c r="PUX1" s="186"/>
      <c r="PUY1" s="186"/>
      <c r="PUZ1" s="186"/>
      <c r="PVA1" s="186"/>
      <c r="PVB1" s="186"/>
      <c r="PVC1" s="186"/>
      <c r="PVD1" s="186"/>
      <c r="PVE1" s="186"/>
      <c r="PVF1" s="186"/>
      <c r="PVG1" s="186"/>
      <c r="PVH1" s="186"/>
      <c r="PVI1" s="186"/>
      <c r="PVJ1" s="186"/>
      <c r="PVK1" s="186"/>
      <c r="PVL1" s="186"/>
      <c r="PVM1" s="186"/>
      <c r="PVN1" s="186"/>
      <c r="PVO1" s="186"/>
      <c r="PVP1" s="186"/>
      <c r="PVQ1" s="186"/>
      <c r="PVR1" s="186"/>
      <c r="PVS1" s="186"/>
      <c r="PVT1" s="186"/>
      <c r="PVU1" s="186"/>
      <c r="PVV1" s="186"/>
      <c r="PVW1" s="186"/>
      <c r="PVX1" s="186"/>
      <c r="PVY1" s="186"/>
      <c r="PVZ1" s="186"/>
      <c r="PWA1" s="186"/>
      <c r="PWB1" s="186"/>
      <c r="PWC1" s="186"/>
      <c r="PWD1" s="186"/>
      <c r="PWE1" s="186"/>
      <c r="PWF1" s="186"/>
      <c r="PWG1" s="186"/>
      <c r="PWH1" s="186"/>
      <c r="PWI1" s="186"/>
      <c r="PWJ1" s="186"/>
      <c r="PWK1" s="186"/>
      <c r="PWL1" s="186"/>
      <c r="PWM1" s="186"/>
      <c r="PWN1" s="186"/>
      <c r="PWO1" s="186"/>
      <c r="PWP1" s="186"/>
      <c r="PWQ1" s="186"/>
      <c r="PWR1" s="186"/>
      <c r="PWS1" s="186"/>
      <c r="PWT1" s="186"/>
      <c r="PWU1" s="186"/>
      <c r="PWV1" s="186"/>
      <c r="PWW1" s="186"/>
      <c r="PWX1" s="186"/>
      <c r="PWY1" s="186"/>
      <c r="PWZ1" s="186"/>
      <c r="PXA1" s="186"/>
      <c r="PXB1" s="186"/>
      <c r="PXC1" s="186"/>
      <c r="PXD1" s="186"/>
      <c r="PXE1" s="186"/>
      <c r="PXF1" s="186"/>
      <c r="PXG1" s="186"/>
      <c r="PXH1" s="186"/>
      <c r="PXI1" s="186"/>
      <c r="PXJ1" s="186"/>
      <c r="PXK1" s="186"/>
      <c r="PXL1" s="186"/>
      <c r="PXM1" s="186"/>
      <c r="PXN1" s="186"/>
      <c r="PXO1" s="186"/>
      <c r="PXP1" s="186"/>
      <c r="PXQ1" s="186"/>
      <c r="PXR1" s="186"/>
      <c r="PXS1" s="186"/>
      <c r="PXT1" s="186"/>
      <c r="PXU1" s="186"/>
      <c r="PXV1" s="186"/>
      <c r="PXW1" s="186"/>
      <c r="PXX1" s="186"/>
      <c r="PXY1" s="186"/>
      <c r="PXZ1" s="186"/>
      <c r="PYA1" s="186"/>
      <c r="PYB1" s="186"/>
      <c r="PYC1" s="186"/>
      <c r="PYD1" s="186"/>
      <c r="PYE1" s="186"/>
      <c r="PYF1" s="186"/>
      <c r="PYG1" s="186"/>
      <c r="PYH1" s="186"/>
      <c r="PYI1" s="186"/>
      <c r="PYJ1" s="186"/>
      <c r="PYK1" s="186"/>
      <c r="PYL1" s="186"/>
      <c r="PYM1" s="186"/>
      <c r="PYN1" s="186"/>
      <c r="PYO1" s="186"/>
      <c r="PYP1" s="186"/>
      <c r="PYQ1" s="186"/>
      <c r="PYR1" s="186"/>
      <c r="PYS1" s="186"/>
      <c r="PYT1" s="186"/>
      <c r="PYU1" s="186"/>
      <c r="PYV1" s="186"/>
      <c r="PYW1" s="186"/>
      <c r="PYX1" s="186"/>
      <c r="PYY1" s="186"/>
      <c r="PYZ1" s="186"/>
      <c r="PZA1" s="186"/>
      <c r="PZB1" s="186"/>
      <c r="PZC1" s="186"/>
      <c r="PZD1" s="186"/>
      <c r="PZE1" s="186"/>
      <c r="PZF1" s="186"/>
      <c r="PZG1" s="186"/>
      <c r="PZH1" s="186"/>
      <c r="PZI1" s="186"/>
      <c r="PZJ1" s="186"/>
      <c r="PZK1" s="186"/>
      <c r="PZL1" s="186"/>
      <c r="PZM1" s="186"/>
      <c r="PZN1" s="186"/>
      <c r="PZO1" s="186"/>
      <c r="PZP1" s="186"/>
      <c r="PZQ1" s="186"/>
      <c r="PZR1" s="186"/>
      <c r="PZS1" s="186"/>
      <c r="PZT1" s="186"/>
      <c r="PZU1" s="186"/>
      <c r="PZV1" s="186"/>
      <c r="PZW1" s="186"/>
      <c r="PZX1" s="186"/>
      <c r="PZY1" s="186"/>
      <c r="PZZ1" s="186"/>
      <c r="QAA1" s="186"/>
      <c r="QAB1" s="186"/>
      <c r="QAC1" s="186"/>
      <c r="QAD1" s="186"/>
      <c r="QAE1" s="186"/>
      <c r="QAF1" s="186"/>
      <c r="QAG1" s="186"/>
      <c r="QAH1" s="186"/>
      <c r="QAI1" s="186"/>
      <c r="QAJ1" s="186"/>
      <c r="QAK1" s="186"/>
      <c r="QAL1" s="186"/>
      <c r="QAM1" s="186"/>
      <c r="QAN1" s="186"/>
      <c r="QAO1" s="186"/>
      <c r="QAP1" s="186"/>
      <c r="QAQ1" s="186"/>
      <c r="QAR1" s="186"/>
      <c r="QAS1" s="186"/>
      <c r="QAT1" s="186"/>
      <c r="QAU1" s="186"/>
      <c r="QAV1" s="186"/>
      <c r="QAW1" s="186"/>
      <c r="QAX1" s="186"/>
      <c r="QAY1" s="186"/>
      <c r="QAZ1" s="186"/>
      <c r="QBA1" s="186"/>
      <c r="QBB1" s="186"/>
      <c r="QBC1" s="186"/>
      <c r="QBD1" s="186"/>
      <c r="QBE1" s="186"/>
      <c r="QBF1" s="186"/>
      <c r="QBG1" s="186"/>
      <c r="QBH1" s="186"/>
      <c r="QBI1" s="186"/>
      <c r="QBJ1" s="186"/>
      <c r="QBK1" s="186"/>
      <c r="QBL1" s="186"/>
      <c r="QBM1" s="186"/>
      <c r="QBN1" s="186"/>
      <c r="QBO1" s="186"/>
      <c r="QBP1" s="186"/>
      <c r="QBQ1" s="186"/>
      <c r="QBR1" s="186"/>
      <c r="QBS1" s="186"/>
      <c r="QBT1" s="186"/>
      <c r="QBU1" s="186"/>
      <c r="QBV1" s="186"/>
      <c r="QBW1" s="186"/>
      <c r="QBX1" s="186"/>
      <c r="QBY1" s="186"/>
      <c r="QBZ1" s="186"/>
      <c r="QCA1" s="186"/>
      <c r="QCB1" s="186"/>
      <c r="QCC1" s="186"/>
      <c r="QCD1" s="186"/>
      <c r="QCE1" s="186"/>
      <c r="QCF1" s="186"/>
      <c r="QCG1" s="186"/>
      <c r="QCH1" s="186"/>
      <c r="QCI1" s="186"/>
      <c r="QCJ1" s="186"/>
      <c r="QCK1" s="186"/>
      <c r="QCL1" s="186"/>
      <c r="QCM1" s="186"/>
      <c r="QCN1" s="186"/>
      <c r="QCO1" s="186"/>
      <c r="QCP1" s="186"/>
      <c r="QCQ1" s="186"/>
      <c r="QCR1" s="186"/>
      <c r="QCS1" s="186"/>
      <c r="QCT1" s="186"/>
      <c r="QCU1" s="186"/>
      <c r="QCV1" s="186"/>
      <c r="QCW1" s="186"/>
      <c r="QCX1" s="186"/>
      <c r="QCY1" s="186"/>
      <c r="QCZ1" s="186"/>
      <c r="QDA1" s="186"/>
      <c r="QDB1" s="186"/>
      <c r="QDC1" s="186"/>
      <c r="QDD1" s="186"/>
      <c r="QDE1" s="186"/>
      <c r="QDF1" s="186"/>
      <c r="QDG1" s="186"/>
      <c r="QDH1" s="186"/>
      <c r="QDI1" s="186"/>
      <c r="QDJ1" s="186"/>
      <c r="QDK1" s="186"/>
      <c r="QDL1" s="186"/>
      <c r="QDM1" s="186"/>
      <c r="QDN1" s="186"/>
      <c r="QDO1" s="186"/>
      <c r="QDP1" s="186"/>
      <c r="QDQ1" s="186"/>
      <c r="QDR1" s="186"/>
      <c r="QDS1" s="186"/>
      <c r="QDT1" s="186"/>
      <c r="QDU1" s="186"/>
      <c r="QDV1" s="186"/>
      <c r="QDW1" s="186"/>
      <c r="QDX1" s="186"/>
      <c r="QDY1" s="186"/>
      <c r="QDZ1" s="186"/>
      <c r="QEA1" s="186"/>
      <c r="QEB1" s="186"/>
      <c r="QEC1" s="186"/>
      <c r="QED1" s="186"/>
      <c r="QEE1" s="186"/>
      <c r="QEF1" s="186"/>
      <c r="QEG1" s="186"/>
      <c r="QEH1" s="186"/>
      <c r="QEI1" s="186"/>
      <c r="QEJ1" s="186"/>
      <c r="QEK1" s="186"/>
      <c r="QEL1" s="186"/>
      <c r="QEM1" s="186"/>
      <c r="QEN1" s="186"/>
      <c r="QEO1" s="186"/>
      <c r="QEP1" s="186"/>
      <c r="QEQ1" s="186"/>
      <c r="QER1" s="186"/>
      <c r="QES1" s="186"/>
      <c r="QET1" s="186"/>
      <c r="QEU1" s="186"/>
      <c r="QEV1" s="186"/>
      <c r="QEW1" s="186"/>
      <c r="QEX1" s="186"/>
      <c r="QEY1" s="186"/>
      <c r="QEZ1" s="186"/>
      <c r="QFA1" s="186"/>
      <c r="QFB1" s="186"/>
      <c r="QFC1" s="186"/>
      <c r="QFD1" s="186"/>
      <c r="QFE1" s="186"/>
      <c r="QFF1" s="186"/>
      <c r="QFG1" s="186"/>
      <c r="QFH1" s="186"/>
      <c r="QFI1" s="186"/>
      <c r="QFJ1" s="186"/>
      <c r="QFK1" s="186"/>
      <c r="QFL1" s="186"/>
      <c r="QFM1" s="186"/>
      <c r="QFN1" s="186"/>
      <c r="QFO1" s="186"/>
      <c r="QFP1" s="186"/>
      <c r="QFQ1" s="186"/>
      <c r="QFR1" s="186"/>
      <c r="QFS1" s="186"/>
      <c r="QFT1" s="186"/>
      <c r="QFU1" s="186"/>
      <c r="QFV1" s="186"/>
      <c r="QFW1" s="186"/>
      <c r="QFX1" s="186"/>
      <c r="QFY1" s="186"/>
      <c r="QFZ1" s="186"/>
      <c r="QGA1" s="186"/>
      <c r="QGB1" s="186"/>
      <c r="QGC1" s="186"/>
      <c r="QGD1" s="186"/>
      <c r="QGE1" s="186"/>
      <c r="QGF1" s="186"/>
      <c r="QGG1" s="186"/>
      <c r="QGH1" s="186"/>
      <c r="QGI1" s="186"/>
      <c r="QGJ1" s="186"/>
      <c r="QGK1" s="186"/>
      <c r="QGL1" s="186"/>
      <c r="QGM1" s="186"/>
      <c r="QGN1" s="186"/>
      <c r="QGO1" s="186"/>
      <c r="QGP1" s="186"/>
      <c r="QGQ1" s="186"/>
      <c r="QGR1" s="186"/>
      <c r="QGS1" s="186"/>
      <c r="QGT1" s="186"/>
      <c r="QGU1" s="186"/>
      <c r="QGV1" s="186"/>
      <c r="QGW1" s="186"/>
      <c r="QGX1" s="186"/>
      <c r="QGY1" s="186"/>
      <c r="QGZ1" s="186"/>
      <c r="QHA1" s="186"/>
      <c r="QHB1" s="186"/>
      <c r="QHC1" s="186"/>
      <c r="QHD1" s="186"/>
      <c r="QHE1" s="186"/>
      <c r="QHF1" s="186"/>
      <c r="QHG1" s="186"/>
      <c r="QHH1" s="186"/>
      <c r="QHI1" s="186"/>
      <c r="QHJ1" s="186"/>
      <c r="QHK1" s="186"/>
      <c r="QHL1" s="186"/>
      <c r="QHM1" s="186"/>
      <c r="QHN1" s="186"/>
      <c r="QHO1" s="186"/>
      <c r="QHP1" s="186"/>
      <c r="QHQ1" s="186"/>
      <c r="QHR1" s="186"/>
      <c r="QHS1" s="186"/>
      <c r="QHT1" s="186"/>
      <c r="QHU1" s="186"/>
      <c r="QHV1" s="186"/>
      <c r="QHW1" s="186"/>
      <c r="QHX1" s="186"/>
      <c r="QHY1" s="186"/>
      <c r="QHZ1" s="186"/>
      <c r="QIA1" s="186"/>
      <c r="QIB1" s="186"/>
      <c r="QIC1" s="186"/>
      <c r="QID1" s="186"/>
      <c r="QIE1" s="186"/>
      <c r="QIF1" s="186"/>
      <c r="QIG1" s="186"/>
      <c r="QIH1" s="186"/>
      <c r="QII1" s="186"/>
      <c r="QIJ1" s="186"/>
      <c r="QIK1" s="186"/>
      <c r="QIL1" s="186"/>
      <c r="QIM1" s="186"/>
      <c r="QIN1" s="186"/>
      <c r="QIO1" s="186"/>
      <c r="QIP1" s="186"/>
      <c r="QIQ1" s="186"/>
      <c r="QIR1" s="186"/>
      <c r="QIS1" s="186"/>
      <c r="QIT1" s="186"/>
      <c r="QIU1" s="186"/>
      <c r="QIV1" s="186"/>
      <c r="QIW1" s="186"/>
      <c r="QIX1" s="186"/>
      <c r="QIY1" s="186"/>
      <c r="QIZ1" s="186"/>
      <c r="QJA1" s="186"/>
      <c r="QJB1" s="186"/>
      <c r="QJC1" s="186"/>
      <c r="QJD1" s="186"/>
      <c r="QJE1" s="186"/>
      <c r="QJF1" s="186"/>
      <c r="QJG1" s="186"/>
      <c r="QJH1" s="186"/>
      <c r="QJI1" s="186"/>
      <c r="QJJ1" s="186"/>
      <c r="QJK1" s="186"/>
      <c r="QJL1" s="186"/>
      <c r="QJM1" s="186"/>
      <c r="QJN1" s="186"/>
      <c r="QJO1" s="186"/>
      <c r="QJP1" s="186"/>
      <c r="QJQ1" s="186"/>
      <c r="QJR1" s="186"/>
      <c r="QJS1" s="186"/>
      <c r="QJT1" s="186"/>
      <c r="QJU1" s="186"/>
      <c r="QJV1" s="186"/>
      <c r="QJW1" s="186"/>
      <c r="QJX1" s="186"/>
      <c r="QJY1" s="186"/>
      <c r="QJZ1" s="186"/>
      <c r="QKA1" s="186"/>
      <c r="QKB1" s="186"/>
      <c r="QKC1" s="186"/>
      <c r="QKD1" s="186"/>
      <c r="QKE1" s="186"/>
      <c r="QKF1" s="186"/>
      <c r="QKG1" s="186"/>
      <c r="QKH1" s="186"/>
      <c r="QKI1" s="186"/>
      <c r="QKJ1" s="186"/>
      <c r="QKK1" s="186"/>
      <c r="QKL1" s="186"/>
      <c r="QKM1" s="186"/>
      <c r="QKN1" s="186"/>
      <c r="QKO1" s="186"/>
      <c r="QKP1" s="186"/>
      <c r="QKQ1" s="186"/>
      <c r="QKR1" s="186"/>
      <c r="QKS1" s="186"/>
      <c r="QKT1" s="186"/>
      <c r="QKU1" s="186"/>
      <c r="QKV1" s="186"/>
      <c r="QKW1" s="186"/>
      <c r="QKX1" s="186"/>
      <c r="QKY1" s="186"/>
      <c r="QKZ1" s="186"/>
      <c r="QLA1" s="186"/>
      <c r="QLB1" s="186"/>
      <c r="QLC1" s="186"/>
      <c r="QLD1" s="186"/>
      <c r="QLE1" s="186"/>
      <c r="QLF1" s="186"/>
      <c r="QLG1" s="186"/>
      <c r="QLH1" s="186"/>
      <c r="QLI1" s="186"/>
      <c r="QLJ1" s="186"/>
      <c r="QLK1" s="186"/>
      <c r="QLL1" s="186"/>
      <c r="QLM1" s="186"/>
      <c r="QLN1" s="186"/>
      <c r="QLO1" s="186"/>
      <c r="QLP1" s="186"/>
      <c r="QLQ1" s="186"/>
      <c r="QLR1" s="186"/>
      <c r="QLS1" s="186"/>
      <c r="QLT1" s="186"/>
      <c r="QLU1" s="186"/>
      <c r="QLV1" s="186"/>
      <c r="QLW1" s="186"/>
      <c r="QLX1" s="186"/>
      <c r="QLY1" s="186"/>
      <c r="QLZ1" s="186"/>
      <c r="QMA1" s="186"/>
      <c r="QMB1" s="186"/>
      <c r="QMC1" s="186"/>
      <c r="QMD1" s="186"/>
      <c r="QME1" s="186"/>
      <c r="QMF1" s="186"/>
      <c r="QMG1" s="186"/>
      <c r="QMH1" s="186"/>
      <c r="QMI1" s="186"/>
      <c r="QMJ1" s="186"/>
      <c r="QMK1" s="186"/>
      <c r="QML1" s="186"/>
      <c r="QMM1" s="186"/>
      <c r="QMN1" s="186"/>
      <c r="QMO1" s="186"/>
      <c r="QMP1" s="186"/>
      <c r="QMQ1" s="186"/>
      <c r="QMR1" s="186"/>
      <c r="QMS1" s="186"/>
      <c r="QMT1" s="186"/>
      <c r="QMU1" s="186"/>
      <c r="QMV1" s="186"/>
      <c r="QMW1" s="186"/>
      <c r="QMX1" s="186"/>
      <c r="QMY1" s="186"/>
      <c r="QMZ1" s="186"/>
      <c r="QNA1" s="186"/>
      <c r="QNB1" s="186"/>
      <c r="QNC1" s="186"/>
      <c r="QND1" s="186"/>
      <c r="QNE1" s="186"/>
      <c r="QNF1" s="186"/>
      <c r="QNG1" s="186"/>
      <c r="QNH1" s="186"/>
      <c r="QNI1" s="186"/>
      <c r="QNJ1" s="186"/>
      <c r="QNK1" s="186"/>
      <c r="QNL1" s="186"/>
      <c r="QNM1" s="186"/>
      <c r="QNN1" s="186"/>
      <c r="QNO1" s="186"/>
      <c r="QNP1" s="186"/>
      <c r="QNQ1" s="186"/>
      <c r="QNR1" s="186"/>
      <c r="QNS1" s="186"/>
      <c r="QNT1" s="186"/>
      <c r="QNU1" s="186"/>
      <c r="QNV1" s="186"/>
      <c r="QNW1" s="186"/>
      <c r="QNX1" s="186"/>
      <c r="QNY1" s="186"/>
      <c r="QNZ1" s="186"/>
      <c r="QOA1" s="186"/>
      <c r="QOB1" s="186"/>
      <c r="QOC1" s="186"/>
      <c r="QOD1" s="186"/>
      <c r="QOE1" s="186"/>
      <c r="QOF1" s="186"/>
      <c r="QOG1" s="186"/>
      <c r="QOH1" s="186"/>
      <c r="QOI1" s="186"/>
      <c r="QOJ1" s="186"/>
      <c r="QOK1" s="186"/>
      <c r="QOL1" s="186"/>
      <c r="QOM1" s="186"/>
      <c r="QON1" s="186"/>
      <c r="QOO1" s="186"/>
      <c r="QOP1" s="186"/>
      <c r="QOQ1" s="186"/>
      <c r="QOR1" s="186"/>
      <c r="QOS1" s="186"/>
      <c r="QOT1" s="186"/>
      <c r="QOU1" s="186"/>
      <c r="QOV1" s="186"/>
      <c r="QOW1" s="186"/>
      <c r="QOX1" s="186"/>
      <c r="QOY1" s="186"/>
      <c r="QOZ1" s="186"/>
      <c r="QPA1" s="186"/>
      <c r="QPB1" s="186"/>
      <c r="QPC1" s="186"/>
      <c r="QPD1" s="186"/>
      <c r="QPE1" s="186"/>
      <c r="QPF1" s="186"/>
      <c r="QPG1" s="186"/>
      <c r="QPH1" s="186"/>
      <c r="QPI1" s="186"/>
      <c r="QPJ1" s="186"/>
      <c r="QPK1" s="186"/>
      <c r="QPL1" s="186"/>
      <c r="QPM1" s="186"/>
      <c r="QPN1" s="186"/>
      <c r="QPO1" s="186"/>
      <c r="QPP1" s="186"/>
      <c r="QPQ1" s="186"/>
      <c r="QPR1" s="186"/>
      <c r="QPS1" s="186"/>
      <c r="QPT1" s="186"/>
      <c r="QPU1" s="186"/>
      <c r="QPV1" s="186"/>
      <c r="QPW1" s="186"/>
      <c r="QPX1" s="186"/>
      <c r="QPY1" s="186"/>
      <c r="QPZ1" s="186"/>
      <c r="QQA1" s="186"/>
      <c r="QQB1" s="186"/>
      <c r="QQC1" s="186"/>
      <c r="QQD1" s="186"/>
      <c r="QQE1" s="186"/>
      <c r="QQF1" s="186"/>
      <c r="QQG1" s="186"/>
      <c r="QQH1" s="186"/>
      <c r="QQI1" s="186"/>
      <c r="QQJ1" s="186"/>
      <c r="QQK1" s="186"/>
      <c r="QQL1" s="186"/>
      <c r="QQM1" s="186"/>
      <c r="QQN1" s="186"/>
      <c r="QQO1" s="186"/>
      <c r="QQP1" s="186"/>
      <c r="QQQ1" s="186"/>
      <c r="QQR1" s="186"/>
      <c r="QQS1" s="186"/>
      <c r="QQT1" s="186"/>
      <c r="QQU1" s="186"/>
      <c r="QQV1" s="186"/>
      <c r="QQW1" s="186"/>
      <c r="QQX1" s="186"/>
      <c r="QQY1" s="186"/>
      <c r="QQZ1" s="186"/>
      <c r="QRA1" s="186"/>
      <c r="QRB1" s="186"/>
      <c r="QRC1" s="186"/>
      <c r="QRD1" s="186"/>
      <c r="QRE1" s="186"/>
      <c r="QRF1" s="186"/>
      <c r="QRG1" s="186"/>
      <c r="QRH1" s="186"/>
      <c r="QRI1" s="186"/>
      <c r="QRJ1" s="186"/>
      <c r="QRK1" s="186"/>
      <c r="QRL1" s="186"/>
      <c r="QRM1" s="186"/>
      <c r="QRN1" s="186"/>
      <c r="QRO1" s="186"/>
      <c r="QRP1" s="186"/>
      <c r="QRQ1" s="186"/>
      <c r="QRR1" s="186"/>
      <c r="QRS1" s="186"/>
      <c r="QRT1" s="186"/>
      <c r="QRU1" s="186"/>
      <c r="QRV1" s="186"/>
      <c r="QRW1" s="186"/>
      <c r="QRX1" s="186"/>
      <c r="QRY1" s="186"/>
      <c r="QRZ1" s="186"/>
      <c r="QSA1" s="186"/>
      <c r="QSB1" s="186"/>
      <c r="QSC1" s="186"/>
      <c r="QSD1" s="186"/>
      <c r="QSE1" s="186"/>
      <c r="QSF1" s="186"/>
      <c r="QSG1" s="186"/>
      <c r="QSH1" s="186"/>
      <c r="QSI1" s="186"/>
      <c r="QSJ1" s="186"/>
      <c r="QSK1" s="186"/>
      <c r="QSL1" s="186"/>
      <c r="QSM1" s="186"/>
      <c r="QSN1" s="186"/>
      <c r="QSO1" s="186"/>
      <c r="QSP1" s="186"/>
      <c r="QSQ1" s="186"/>
      <c r="QSR1" s="186"/>
      <c r="QSS1" s="186"/>
      <c r="QST1" s="186"/>
      <c r="QSU1" s="186"/>
      <c r="QSV1" s="186"/>
      <c r="QSW1" s="186"/>
      <c r="QSX1" s="186"/>
      <c r="QSY1" s="186"/>
      <c r="QSZ1" s="186"/>
      <c r="QTA1" s="186"/>
      <c r="QTB1" s="186"/>
      <c r="QTC1" s="186"/>
      <c r="QTD1" s="186"/>
      <c r="QTE1" s="186"/>
      <c r="QTF1" s="186"/>
      <c r="QTG1" s="186"/>
      <c r="QTH1" s="186"/>
      <c r="QTI1" s="186"/>
      <c r="QTJ1" s="186"/>
      <c r="QTK1" s="186"/>
      <c r="QTL1" s="186"/>
      <c r="QTM1" s="186"/>
      <c r="QTN1" s="186"/>
      <c r="QTO1" s="186"/>
      <c r="QTP1" s="186"/>
      <c r="QTQ1" s="186"/>
      <c r="QTR1" s="186"/>
      <c r="QTS1" s="186"/>
      <c r="QTT1" s="186"/>
      <c r="QTU1" s="186"/>
      <c r="QTV1" s="186"/>
      <c r="QTW1" s="186"/>
      <c r="QTX1" s="186"/>
      <c r="QTY1" s="186"/>
      <c r="QTZ1" s="186"/>
      <c r="QUA1" s="186"/>
      <c r="QUB1" s="186"/>
      <c r="QUC1" s="186"/>
      <c r="QUD1" s="186"/>
      <c r="QUE1" s="186"/>
      <c r="QUF1" s="186"/>
      <c r="QUG1" s="186"/>
      <c r="QUH1" s="186"/>
      <c r="QUI1" s="186"/>
      <c r="QUJ1" s="186"/>
      <c r="QUK1" s="186"/>
      <c r="QUL1" s="186"/>
      <c r="QUM1" s="186"/>
      <c r="QUN1" s="186"/>
      <c r="QUO1" s="186"/>
      <c r="QUP1" s="186"/>
      <c r="QUQ1" s="186"/>
      <c r="QUR1" s="186"/>
      <c r="QUS1" s="186"/>
      <c r="QUT1" s="186"/>
      <c r="QUU1" s="186"/>
      <c r="QUV1" s="186"/>
      <c r="QUW1" s="186"/>
      <c r="QUX1" s="186"/>
      <c r="QUY1" s="186"/>
      <c r="QUZ1" s="186"/>
      <c r="QVA1" s="186"/>
      <c r="QVB1" s="186"/>
      <c r="QVC1" s="186"/>
      <c r="QVD1" s="186"/>
      <c r="QVE1" s="186"/>
      <c r="QVF1" s="186"/>
      <c r="QVG1" s="186"/>
      <c r="QVH1" s="186"/>
      <c r="QVI1" s="186"/>
      <c r="QVJ1" s="186"/>
      <c r="QVK1" s="186"/>
      <c r="QVL1" s="186"/>
      <c r="QVM1" s="186"/>
      <c r="QVN1" s="186"/>
      <c r="QVO1" s="186"/>
      <c r="QVP1" s="186"/>
      <c r="QVQ1" s="186"/>
      <c r="QVR1" s="186"/>
      <c r="QVS1" s="186"/>
      <c r="QVT1" s="186"/>
      <c r="QVU1" s="186"/>
      <c r="QVV1" s="186"/>
      <c r="QVW1" s="186"/>
      <c r="QVX1" s="186"/>
      <c r="QVY1" s="186"/>
      <c r="QVZ1" s="186"/>
      <c r="QWA1" s="186"/>
      <c r="QWB1" s="186"/>
      <c r="QWC1" s="186"/>
      <c r="QWD1" s="186"/>
      <c r="QWE1" s="186"/>
      <c r="QWF1" s="186"/>
      <c r="QWG1" s="186"/>
      <c r="QWH1" s="186"/>
      <c r="QWI1" s="186"/>
      <c r="QWJ1" s="186"/>
      <c r="QWK1" s="186"/>
      <c r="QWL1" s="186"/>
      <c r="QWM1" s="186"/>
      <c r="QWN1" s="186"/>
      <c r="QWO1" s="186"/>
      <c r="QWP1" s="186"/>
      <c r="QWQ1" s="186"/>
      <c r="QWR1" s="186"/>
      <c r="QWS1" s="186"/>
      <c r="QWT1" s="186"/>
      <c r="QWU1" s="186"/>
      <c r="QWV1" s="186"/>
      <c r="QWW1" s="186"/>
      <c r="QWX1" s="186"/>
      <c r="QWY1" s="186"/>
      <c r="QWZ1" s="186"/>
      <c r="QXA1" s="186"/>
      <c r="QXB1" s="186"/>
      <c r="QXC1" s="186"/>
      <c r="QXD1" s="186"/>
      <c r="QXE1" s="186"/>
      <c r="QXF1" s="186"/>
      <c r="QXG1" s="186"/>
      <c r="QXH1" s="186"/>
      <c r="QXI1" s="186"/>
      <c r="QXJ1" s="186"/>
      <c r="QXK1" s="186"/>
      <c r="QXL1" s="186"/>
      <c r="QXM1" s="186"/>
      <c r="QXN1" s="186"/>
      <c r="QXO1" s="186"/>
      <c r="QXP1" s="186"/>
      <c r="QXQ1" s="186"/>
      <c r="QXR1" s="186"/>
      <c r="QXS1" s="186"/>
      <c r="QXT1" s="186"/>
      <c r="QXU1" s="186"/>
      <c r="QXV1" s="186"/>
      <c r="QXW1" s="186"/>
      <c r="QXX1" s="186"/>
      <c r="QXY1" s="186"/>
      <c r="QXZ1" s="186"/>
      <c r="QYA1" s="186"/>
      <c r="QYB1" s="186"/>
      <c r="QYC1" s="186"/>
      <c r="QYD1" s="186"/>
      <c r="QYE1" s="186"/>
      <c r="QYF1" s="186"/>
      <c r="QYG1" s="186"/>
      <c r="QYH1" s="186"/>
      <c r="QYI1" s="186"/>
      <c r="QYJ1" s="186"/>
      <c r="QYK1" s="186"/>
      <c r="QYL1" s="186"/>
      <c r="QYM1" s="186"/>
      <c r="QYN1" s="186"/>
      <c r="QYO1" s="186"/>
      <c r="QYP1" s="186"/>
      <c r="QYQ1" s="186"/>
      <c r="QYR1" s="186"/>
      <c r="QYS1" s="186"/>
      <c r="QYT1" s="186"/>
      <c r="QYU1" s="186"/>
      <c r="QYV1" s="186"/>
      <c r="QYW1" s="186"/>
      <c r="QYX1" s="186"/>
      <c r="QYY1" s="186"/>
      <c r="QYZ1" s="186"/>
      <c r="QZA1" s="186"/>
      <c r="QZB1" s="186"/>
      <c r="QZC1" s="186"/>
      <c r="QZD1" s="186"/>
      <c r="QZE1" s="186"/>
      <c r="QZF1" s="186"/>
      <c r="QZG1" s="186"/>
      <c r="QZH1" s="186"/>
      <c r="QZI1" s="186"/>
      <c r="QZJ1" s="186"/>
      <c r="QZK1" s="186"/>
      <c r="QZL1" s="186"/>
      <c r="QZM1" s="186"/>
      <c r="QZN1" s="186"/>
      <c r="QZO1" s="186"/>
      <c r="QZP1" s="186"/>
      <c r="QZQ1" s="186"/>
      <c r="QZR1" s="186"/>
      <c r="QZS1" s="186"/>
      <c r="QZT1" s="186"/>
      <c r="QZU1" s="186"/>
      <c r="QZV1" s="186"/>
      <c r="QZW1" s="186"/>
      <c r="QZX1" s="186"/>
      <c r="QZY1" s="186"/>
      <c r="QZZ1" s="186"/>
      <c r="RAA1" s="186"/>
      <c r="RAB1" s="186"/>
      <c r="RAC1" s="186"/>
      <c r="RAD1" s="186"/>
      <c r="RAE1" s="186"/>
      <c r="RAF1" s="186"/>
      <c r="RAG1" s="186"/>
      <c r="RAH1" s="186"/>
      <c r="RAI1" s="186"/>
      <c r="RAJ1" s="186"/>
      <c r="RAK1" s="186"/>
      <c r="RAL1" s="186"/>
      <c r="RAM1" s="186"/>
      <c r="RAN1" s="186"/>
      <c r="RAO1" s="186"/>
      <c r="RAP1" s="186"/>
      <c r="RAQ1" s="186"/>
      <c r="RAR1" s="186"/>
      <c r="RAS1" s="186"/>
      <c r="RAT1" s="186"/>
      <c r="RAU1" s="186"/>
      <c r="RAV1" s="186"/>
      <c r="RAW1" s="186"/>
      <c r="RAX1" s="186"/>
      <c r="RAY1" s="186"/>
      <c r="RAZ1" s="186"/>
      <c r="RBA1" s="186"/>
      <c r="RBB1" s="186"/>
      <c r="RBC1" s="186"/>
      <c r="RBD1" s="186"/>
      <c r="RBE1" s="186"/>
      <c r="RBF1" s="186"/>
      <c r="RBG1" s="186"/>
      <c r="RBH1" s="186"/>
      <c r="RBI1" s="186"/>
      <c r="RBJ1" s="186"/>
      <c r="RBK1" s="186"/>
      <c r="RBL1" s="186"/>
      <c r="RBM1" s="186"/>
      <c r="RBN1" s="186"/>
      <c r="RBO1" s="186"/>
      <c r="RBP1" s="186"/>
      <c r="RBQ1" s="186"/>
      <c r="RBR1" s="186"/>
      <c r="RBS1" s="186"/>
      <c r="RBT1" s="186"/>
      <c r="RBU1" s="186"/>
      <c r="RBV1" s="186"/>
      <c r="RBW1" s="186"/>
      <c r="RBX1" s="186"/>
      <c r="RBY1" s="186"/>
      <c r="RBZ1" s="186"/>
      <c r="RCA1" s="186"/>
      <c r="RCB1" s="186"/>
      <c r="RCC1" s="186"/>
      <c r="RCD1" s="186"/>
      <c r="RCE1" s="186"/>
      <c r="RCF1" s="186"/>
      <c r="RCG1" s="186"/>
      <c r="RCH1" s="186"/>
      <c r="RCI1" s="186"/>
      <c r="RCJ1" s="186"/>
      <c r="RCK1" s="186"/>
      <c r="RCL1" s="186"/>
      <c r="RCM1" s="186"/>
      <c r="RCN1" s="186"/>
      <c r="RCO1" s="186"/>
      <c r="RCP1" s="186"/>
      <c r="RCQ1" s="186"/>
      <c r="RCR1" s="186"/>
      <c r="RCS1" s="186"/>
      <c r="RCT1" s="186"/>
      <c r="RCU1" s="186"/>
      <c r="RCV1" s="186"/>
      <c r="RCW1" s="186"/>
      <c r="RCX1" s="186"/>
      <c r="RCY1" s="186"/>
      <c r="RCZ1" s="186"/>
      <c r="RDA1" s="186"/>
      <c r="RDB1" s="186"/>
      <c r="RDC1" s="186"/>
      <c r="RDD1" s="186"/>
      <c r="RDE1" s="186"/>
      <c r="RDF1" s="186"/>
      <c r="RDG1" s="186"/>
      <c r="RDH1" s="186"/>
      <c r="RDI1" s="186"/>
      <c r="RDJ1" s="186"/>
      <c r="RDK1" s="186"/>
      <c r="RDL1" s="186"/>
      <c r="RDM1" s="186"/>
      <c r="RDN1" s="186"/>
      <c r="RDO1" s="186"/>
      <c r="RDP1" s="186"/>
      <c r="RDQ1" s="186"/>
      <c r="RDR1" s="186"/>
      <c r="RDS1" s="186"/>
      <c r="RDT1" s="186"/>
      <c r="RDU1" s="186"/>
      <c r="RDV1" s="186"/>
      <c r="RDW1" s="186"/>
      <c r="RDX1" s="186"/>
      <c r="RDY1" s="186"/>
      <c r="RDZ1" s="186"/>
      <c r="REA1" s="186"/>
      <c r="REB1" s="186"/>
      <c r="REC1" s="186"/>
      <c r="RED1" s="186"/>
      <c r="REE1" s="186"/>
      <c r="REF1" s="186"/>
      <c r="REG1" s="186"/>
      <c r="REH1" s="186"/>
      <c r="REI1" s="186"/>
      <c r="REJ1" s="186"/>
      <c r="REK1" s="186"/>
      <c r="REL1" s="186"/>
      <c r="REM1" s="186"/>
      <c r="REN1" s="186"/>
      <c r="REO1" s="186"/>
      <c r="REP1" s="186"/>
      <c r="REQ1" s="186"/>
      <c r="RER1" s="186"/>
      <c r="RES1" s="186"/>
      <c r="RET1" s="186"/>
      <c r="REU1" s="186"/>
      <c r="REV1" s="186"/>
      <c r="REW1" s="186"/>
      <c r="REX1" s="186"/>
      <c r="REY1" s="186"/>
      <c r="REZ1" s="186"/>
      <c r="RFA1" s="186"/>
      <c r="RFB1" s="186"/>
      <c r="RFC1" s="186"/>
      <c r="RFD1" s="186"/>
      <c r="RFE1" s="186"/>
      <c r="RFF1" s="186"/>
      <c r="RFG1" s="186"/>
      <c r="RFH1" s="186"/>
      <c r="RFI1" s="186"/>
      <c r="RFJ1" s="186"/>
      <c r="RFK1" s="186"/>
      <c r="RFL1" s="186"/>
      <c r="RFM1" s="186"/>
      <c r="RFN1" s="186"/>
      <c r="RFO1" s="186"/>
      <c r="RFP1" s="186"/>
      <c r="RFQ1" s="186"/>
      <c r="RFR1" s="186"/>
      <c r="RFS1" s="186"/>
      <c r="RFT1" s="186"/>
      <c r="RFU1" s="186"/>
      <c r="RFV1" s="186"/>
      <c r="RFW1" s="186"/>
      <c r="RFX1" s="186"/>
      <c r="RFY1" s="186"/>
      <c r="RFZ1" s="186"/>
      <c r="RGA1" s="186"/>
      <c r="RGB1" s="186"/>
      <c r="RGC1" s="186"/>
      <c r="RGD1" s="186"/>
      <c r="RGE1" s="186"/>
      <c r="RGF1" s="186"/>
      <c r="RGG1" s="186"/>
      <c r="RGH1" s="186"/>
      <c r="RGI1" s="186"/>
      <c r="RGJ1" s="186"/>
      <c r="RGK1" s="186"/>
      <c r="RGL1" s="186"/>
      <c r="RGM1" s="186"/>
      <c r="RGN1" s="186"/>
      <c r="RGO1" s="186"/>
      <c r="RGP1" s="186"/>
      <c r="RGQ1" s="186"/>
      <c r="RGR1" s="186"/>
      <c r="RGS1" s="186"/>
      <c r="RGT1" s="186"/>
      <c r="RGU1" s="186"/>
      <c r="RGV1" s="186"/>
      <c r="RGW1" s="186"/>
      <c r="RGX1" s="186"/>
      <c r="RGY1" s="186"/>
      <c r="RGZ1" s="186"/>
      <c r="RHA1" s="186"/>
      <c r="RHB1" s="186"/>
      <c r="RHC1" s="186"/>
      <c r="RHD1" s="186"/>
      <c r="RHE1" s="186"/>
      <c r="RHF1" s="186"/>
      <c r="RHG1" s="186"/>
      <c r="RHH1" s="186"/>
      <c r="RHI1" s="186"/>
      <c r="RHJ1" s="186"/>
      <c r="RHK1" s="186"/>
      <c r="RHL1" s="186"/>
      <c r="RHM1" s="186"/>
      <c r="RHN1" s="186"/>
      <c r="RHO1" s="186"/>
      <c r="RHP1" s="186"/>
      <c r="RHQ1" s="186"/>
      <c r="RHR1" s="186"/>
      <c r="RHS1" s="186"/>
      <c r="RHT1" s="186"/>
      <c r="RHU1" s="186"/>
      <c r="RHV1" s="186"/>
      <c r="RHW1" s="186"/>
      <c r="RHX1" s="186"/>
      <c r="RHY1" s="186"/>
      <c r="RHZ1" s="186"/>
      <c r="RIA1" s="186"/>
      <c r="RIB1" s="186"/>
      <c r="RIC1" s="186"/>
      <c r="RID1" s="186"/>
      <c r="RIE1" s="186"/>
      <c r="RIF1" s="186"/>
      <c r="RIG1" s="186"/>
      <c r="RIH1" s="186"/>
      <c r="RII1" s="186"/>
      <c r="RIJ1" s="186"/>
      <c r="RIK1" s="186"/>
      <c r="RIL1" s="186"/>
      <c r="RIM1" s="186"/>
      <c r="RIN1" s="186"/>
      <c r="RIO1" s="186"/>
      <c r="RIP1" s="186"/>
      <c r="RIQ1" s="186"/>
      <c r="RIR1" s="186"/>
      <c r="RIS1" s="186"/>
      <c r="RIT1" s="186"/>
      <c r="RIU1" s="186"/>
      <c r="RIV1" s="186"/>
      <c r="RIW1" s="186"/>
      <c r="RIX1" s="186"/>
      <c r="RIY1" s="186"/>
      <c r="RIZ1" s="186"/>
      <c r="RJA1" s="186"/>
      <c r="RJB1" s="186"/>
      <c r="RJC1" s="186"/>
      <c r="RJD1" s="186"/>
      <c r="RJE1" s="186"/>
      <c r="RJF1" s="186"/>
      <c r="RJG1" s="186"/>
      <c r="RJH1" s="186"/>
      <c r="RJI1" s="186"/>
      <c r="RJJ1" s="186"/>
      <c r="RJK1" s="186"/>
      <c r="RJL1" s="186"/>
      <c r="RJM1" s="186"/>
      <c r="RJN1" s="186"/>
      <c r="RJO1" s="186"/>
      <c r="RJP1" s="186"/>
      <c r="RJQ1" s="186"/>
      <c r="RJR1" s="186"/>
      <c r="RJS1" s="186"/>
      <c r="RJT1" s="186"/>
      <c r="RJU1" s="186"/>
      <c r="RJV1" s="186"/>
      <c r="RJW1" s="186"/>
      <c r="RJX1" s="186"/>
      <c r="RJY1" s="186"/>
      <c r="RJZ1" s="186"/>
      <c r="RKA1" s="186"/>
      <c r="RKB1" s="186"/>
      <c r="RKC1" s="186"/>
      <c r="RKD1" s="186"/>
      <c r="RKE1" s="186"/>
      <c r="RKF1" s="186"/>
      <c r="RKG1" s="186"/>
      <c r="RKH1" s="186"/>
      <c r="RKI1" s="186"/>
      <c r="RKJ1" s="186"/>
      <c r="RKK1" s="186"/>
      <c r="RKL1" s="186"/>
      <c r="RKM1" s="186"/>
      <c r="RKN1" s="186"/>
      <c r="RKO1" s="186"/>
      <c r="RKP1" s="186"/>
      <c r="RKQ1" s="186"/>
      <c r="RKR1" s="186"/>
      <c r="RKS1" s="186"/>
      <c r="RKT1" s="186"/>
      <c r="RKU1" s="186"/>
      <c r="RKV1" s="186"/>
      <c r="RKW1" s="186"/>
      <c r="RKX1" s="186"/>
      <c r="RKY1" s="186"/>
      <c r="RKZ1" s="186"/>
      <c r="RLA1" s="186"/>
      <c r="RLB1" s="186"/>
      <c r="RLC1" s="186"/>
      <c r="RLD1" s="186"/>
      <c r="RLE1" s="186"/>
      <c r="RLF1" s="186"/>
      <c r="RLG1" s="186"/>
      <c r="RLH1" s="186"/>
      <c r="RLI1" s="186"/>
      <c r="RLJ1" s="186"/>
      <c r="RLK1" s="186"/>
      <c r="RLL1" s="186"/>
      <c r="RLM1" s="186"/>
      <c r="RLN1" s="186"/>
      <c r="RLO1" s="186"/>
      <c r="RLP1" s="186"/>
      <c r="RLQ1" s="186"/>
      <c r="RLR1" s="186"/>
      <c r="RLS1" s="186"/>
      <c r="RLT1" s="186"/>
      <c r="RLU1" s="186"/>
      <c r="RLV1" s="186"/>
      <c r="RLW1" s="186"/>
      <c r="RLX1" s="186"/>
      <c r="RLY1" s="186"/>
      <c r="RLZ1" s="186"/>
      <c r="RMA1" s="186"/>
      <c r="RMB1" s="186"/>
      <c r="RMC1" s="186"/>
      <c r="RMD1" s="186"/>
      <c r="RME1" s="186"/>
      <c r="RMF1" s="186"/>
      <c r="RMG1" s="186"/>
      <c r="RMH1" s="186"/>
      <c r="RMI1" s="186"/>
      <c r="RMJ1" s="186"/>
      <c r="RMK1" s="186"/>
      <c r="RML1" s="186"/>
      <c r="RMM1" s="186"/>
      <c r="RMN1" s="186"/>
      <c r="RMO1" s="186"/>
      <c r="RMP1" s="186"/>
      <c r="RMQ1" s="186"/>
      <c r="RMR1" s="186"/>
      <c r="RMS1" s="186"/>
      <c r="RMT1" s="186"/>
      <c r="RMU1" s="186"/>
      <c r="RMV1" s="186"/>
      <c r="RMW1" s="186"/>
      <c r="RMX1" s="186"/>
      <c r="RMY1" s="186"/>
      <c r="RMZ1" s="186"/>
      <c r="RNA1" s="186"/>
      <c r="RNB1" s="186"/>
      <c r="RNC1" s="186"/>
      <c r="RND1" s="186"/>
      <c r="RNE1" s="186"/>
      <c r="RNF1" s="186"/>
      <c r="RNG1" s="186"/>
      <c r="RNH1" s="186"/>
      <c r="RNI1" s="186"/>
      <c r="RNJ1" s="186"/>
      <c r="RNK1" s="186"/>
      <c r="RNL1" s="186"/>
      <c r="RNM1" s="186"/>
      <c r="RNN1" s="186"/>
      <c r="RNO1" s="186"/>
      <c r="RNP1" s="186"/>
      <c r="RNQ1" s="186"/>
      <c r="RNR1" s="186"/>
      <c r="RNS1" s="186"/>
      <c r="RNT1" s="186"/>
      <c r="RNU1" s="186"/>
      <c r="RNV1" s="186"/>
      <c r="RNW1" s="186"/>
      <c r="RNX1" s="186"/>
      <c r="RNY1" s="186"/>
      <c r="RNZ1" s="186"/>
      <c r="ROA1" s="186"/>
      <c r="ROB1" s="186"/>
      <c r="ROC1" s="186"/>
      <c r="ROD1" s="186"/>
      <c r="ROE1" s="186"/>
      <c r="ROF1" s="186"/>
      <c r="ROG1" s="186"/>
      <c r="ROH1" s="186"/>
      <c r="ROI1" s="186"/>
      <c r="ROJ1" s="186"/>
      <c r="ROK1" s="186"/>
      <c r="ROL1" s="186"/>
      <c r="ROM1" s="186"/>
      <c r="RON1" s="186"/>
      <c r="ROO1" s="186"/>
      <c r="ROP1" s="186"/>
      <c r="ROQ1" s="186"/>
      <c r="ROR1" s="186"/>
      <c r="ROS1" s="186"/>
      <c r="ROT1" s="186"/>
      <c r="ROU1" s="186"/>
      <c r="ROV1" s="186"/>
      <c r="ROW1" s="186"/>
      <c r="ROX1" s="186"/>
      <c r="ROY1" s="186"/>
      <c r="ROZ1" s="186"/>
      <c r="RPA1" s="186"/>
      <c r="RPB1" s="186"/>
      <c r="RPC1" s="186"/>
      <c r="RPD1" s="186"/>
      <c r="RPE1" s="186"/>
      <c r="RPF1" s="186"/>
      <c r="RPG1" s="186"/>
      <c r="RPH1" s="186"/>
      <c r="RPI1" s="186"/>
      <c r="RPJ1" s="186"/>
      <c r="RPK1" s="186"/>
      <c r="RPL1" s="186"/>
      <c r="RPM1" s="186"/>
      <c r="RPN1" s="186"/>
      <c r="RPO1" s="186"/>
      <c r="RPP1" s="186"/>
      <c r="RPQ1" s="186"/>
      <c r="RPR1" s="186"/>
      <c r="RPS1" s="186"/>
      <c r="RPT1" s="186"/>
      <c r="RPU1" s="186"/>
      <c r="RPV1" s="186"/>
      <c r="RPW1" s="186"/>
      <c r="RPX1" s="186"/>
      <c r="RPY1" s="186"/>
      <c r="RPZ1" s="186"/>
      <c r="RQA1" s="186"/>
      <c r="RQB1" s="186"/>
      <c r="RQC1" s="186"/>
      <c r="RQD1" s="186"/>
      <c r="RQE1" s="186"/>
      <c r="RQF1" s="186"/>
      <c r="RQG1" s="186"/>
      <c r="RQH1" s="186"/>
      <c r="RQI1" s="186"/>
      <c r="RQJ1" s="186"/>
      <c r="RQK1" s="186"/>
      <c r="RQL1" s="186"/>
      <c r="RQM1" s="186"/>
      <c r="RQN1" s="186"/>
      <c r="RQO1" s="186"/>
      <c r="RQP1" s="186"/>
      <c r="RQQ1" s="186"/>
      <c r="RQR1" s="186"/>
      <c r="RQS1" s="186"/>
      <c r="RQT1" s="186"/>
      <c r="RQU1" s="186"/>
      <c r="RQV1" s="186"/>
      <c r="RQW1" s="186"/>
      <c r="RQX1" s="186"/>
      <c r="RQY1" s="186"/>
      <c r="RQZ1" s="186"/>
      <c r="RRA1" s="186"/>
      <c r="RRB1" s="186"/>
      <c r="RRC1" s="186"/>
      <c r="RRD1" s="186"/>
      <c r="RRE1" s="186"/>
      <c r="RRF1" s="186"/>
      <c r="RRG1" s="186"/>
      <c r="RRH1" s="186"/>
      <c r="RRI1" s="186"/>
      <c r="RRJ1" s="186"/>
      <c r="RRK1" s="186"/>
      <c r="RRL1" s="186"/>
      <c r="RRM1" s="186"/>
      <c r="RRN1" s="186"/>
      <c r="RRO1" s="186"/>
      <c r="RRP1" s="186"/>
      <c r="RRQ1" s="186"/>
      <c r="RRR1" s="186"/>
      <c r="RRS1" s="186"/>
      <c r="RRT1" s="186"/>
      <c r="RRU1" s="186"/>
      <c r="RRV1" s="186"/>
      <c r="RRW1" s="186"/>
      <c r="RRX1" s="186"/>
      <c r="RRY1" s="186"/>
      <c r="RRZ1" s="186"/>
      <c r="RSA1" s="186"/>
      <c r="RSB1" s="186"/>
      <c r="RSC1" s="186"/>
      <c r="RSD1" s="186"/>
      <c r="RSE1" s="186"/>
      <c r="RSF1" s="186"/>
      <c r="RSG1" s="186"/>
      <c r="RSH1" s="186"/>
      <c r="RSI1" s="186"/>
      <c r="RSJ1" s="186"/>
      <c r="RSK1" s="186"/>
      <c r="RSL1" s="186"/>
      <c r="RSM1" s="186"/>
      <c r="RSN1" s="186"/>
      <c r="RSO1" s="186"/>
      <c r="RSP1" s="186"/>
      <c r="RSQ1" s="186"/>
      <c r="RSR1" s="186"/>
      <c r="RSS1" s="186"/>
      <c r="RST1" s="186"/>
      <c r="RSU1" s="186"/>
      <c r="RSV1" s="186"/>
      <c r="RSW1" s="186"/>
      <c r="RSX1" s="186"/>
      <c r="RSY1" s="186"/>
      <c r="RSZ1" s="186"/>
      <c r="RTA1" s="186"/>
      <c r="RTB1" s="186"/>
      <c r="RTC1" s="186"/>
      <c r="RTD1" s="186"/>
      <c r="RTE1" s="186"/>
      <c r="RTF1" s="186"/>
      <c r="RTG1" s="186"/>
      <c r="RTH1" s="186"/>
      <c r="RTI1" s="186"/>
      <c r="RTJ1" s="186"/>
      <c r="RTK1" s="186"/>
      <c r="RTL1" s="186"/>
      <c r="RTM1" s="186"/>
      <c r="RTN1" s="186"/>
      <c r="RTO1" s="186"/>
      <c r="RTP1" s="186"/>
      <c r="RTQ1" s="186"/>
      <c r="RTR1" s="186"/>
      <c r="RTS1" s="186"/>
      <c r="RTT1" s="186"/>
      <c r="RTU1" s="186"/>
      <c r="RTV1" s="186"/>
      <c r="RTW1" s="186"/>
      <c r="RTX1" s="186"/>
      <c r="RTY1" s="186"/>
      <c r="RTZ1" s="186"/>
      <c r="RUA1" s="186"/>
      <c r="RUB1" s="186"/>
      <c r="RUC1" s="186"/>
      <c r="RUD1" s="186"/>
      <c r="RUE1" s="186"/>
      <c r="RUF1" s="186"/>
      <c r="RUG1" s="186"/>
      <c r="RUH1" s="186"/>
      <c r="RUI1" s="186"/>
      <c r="RUJ1" s="186"/>
      <c r="RUK1" s="186"/>
      <c r="RUL1" s="186"/>
      <c r="RUM1" s="186"/>
      <c r="RUN1" s="186"/>
      <c r="RUO1" s="186"/>
      <c r="RUP1" s="186"/>
      <c r="RUQ1" s="186"/>
      <c r="RUR1" s="186"/>
      <c r="RUS1" s="186"/>
      <c r="RUT1" s="186"/>
      <c r="RUU1" s="186"/>
      <c r="RUV1" s="186"/>
      <c r="RUW1" s="186"/>
      <c r="RUX1" s="186"/>
      <c r="RUY1" s="186"/>
      <c r="RUZ1" s="186"/>
      <c r="RVA1" s="186"/>
      <c r="RVB1" s="186"/>
      <c r="RVC1" s="186"/>
      <c r="RVD1" s="186"/>
      <c r="RVE1" s="186"/>
      <c r="RVF1" s="186"/>
      <c r="RVG1" s="186"/>
      <c r="RVH1" s="186"/>
      <c r="RVI1" s="186"/>
      <c r="RVJ1" s="186"/>
      <c r="RVK1" s="186"/>
      <c r="RVL1" s="186"/>
      <c r="RVM1" s="186"/>
      <c r="RVN1" s="186"/>
      <c r="RVO1" s="186"/>
      <c r="RVP1" s="186"/>
      <c r="RVQ1" s="186"/>
      <c r="RVR1" s="186"/>
      <c r="RVS1" s="186"/>
      <c r="RVT1" s="186"/>
      <c r="RVU1" s="186"/>
      <c r="RVV1" s="186"/>
      <c r="RVW1" s="186"/>
      <c r="RVX1" s="186"/>
      <c r="RVY1" s="186"/>
      <c r="RVZ1" s="186"/>
      <c r="RWA1" s="186"/>
      <c r="RWB1" s="186"/>
      <c r="RWC1" s="186"/>
      <c r="RWD1" s="186"/>
      <c r="RWE1" s="186"/>
      <c r="RWF1" s="186"/>
      <c r="RWG1" s="186"/>
      <c r="RWH1" s="186"/>
      <c r="RWI1" s="186"/>
      <c r="RWJ1" s="186"/>
      <c r="RWK1" s="186"/>
      <c r="RWL1" s="186"/>
      <c r="RWM1" s="186"/>
      <c r="RWN1" s="186"/>
      <c r="RWO1" s="186"/>
      <c r="RWP1" s="186"/>
      <c r="RWQ1" s="186"/>
      <c r="RWR1" s="186"/>
      <c r="RWS1" s="186"/>
      <c r="RWT1" s="186"/>
      <c r="RWU1" s="186"/>
      <c r="RWV1" s="186"/>
      <c r="RWW1" s="186"/>
      <c r="RWX1" s="186"/>
      <c r="RWY1" s="186"/>
      <c r="RWZ1" s="186"/>
      <c r="RXA1" s="186"/>
      <c r="RXB1" s="186"/>
      <c r="RXC1" s="186"/>
      <c r="RXD1" s="186"/>
      <c r="RXE1" s="186"/>
      <c r="RXF1" s="186"/>
      <c r="RXG1" s="186"/>
      <c r="RXH1" s="186"/>
      <c r="RXI1" s="186"/>
      <c r="RXJ1" s="186"/>
      <c r="RXK1" s="186"/>
      <c r="RXL1" s="186"/>
      <c r="RXM1" s="186"/>
      <c r="RXN1" s="186"/>
      <c r="RXO1" s="186"/>
      <c r="RXP1" s="186"/>
      <c r="RXQ1" s="186"/>
      <c r="RXR1" s="186"/>
      <c r="RXS1" s="186"/>
      <c r="RXT1" s="186"/>
      <c r="RXU1" s="186"/>
      <c r="RXV1" s="186"/>
      <c r="RXW1" s="186"/>
      <c r="RXX1" s="186"/>
      <c r="RXY1" s="186"/>
      <c r="RXZ1" s="186"/>
      <c r="RYA1" s="186"/>
      <c r="RYB1" s="186"/>
      <c r="RYC1" s="186"/>
      <c r="RYD1" s="186"/>
      <c r="RYE1" s="186"/>
      <c r="RYF1" s="186"/>
      <c r="RYG1" s="186"/>
      <c r="RYH1" s="186"/>
      <c r="RYI1" s="186"/>
      <c r="RYJ1" s="186"/>
      <c r="RYK1" s="186"/>
      <c r="RYL1" s="186"/>
      <c r="RYM1" s="186"/>
      <c r="RYN1" s="186"/>
      <c r="RYO1" s="186"/>
      <c r="RYP1" s="186"/>
      <c r="RYQ1" s="186"/>
      <c r="RYR1" s="186"/>
      <c r="RYS1" s="186"/>
      <c r="RYT1" s="186"/>
      <c r="RYU1" s="186"/>
      <c r="RYV1" s="186"/>
      <c r="RYW1" s="186"/>
      <c r="RYX1" s="186"/>
      <c r="RYY1" s="186"/>
      <c r="RYZ1" s="186"/>
      <c r="RZA1" s="186"/>
      <c r="RZB1" s="186"/>
      <c r="RZC1" s="186"/>
      <c r="RZD1" s="186"/>
      <c r="RZE1" s="186"/>
      <c r="RZF1" s="186"/>
      <c r="RZG1" s="186"/>
      <c r="RZH1" s="186"/>
      <c r="RZI1" s="186"/>
      <c r="RZJ1" s="186"/>
      <c r="RZK1" s="186"/>
      <c r="RZL1" s="186"/>
      <c r="RZM1" s="186"/>
      <c r="RZN1" s="186"/>
      <c r="RZO1" s="186"/>
      <c r="RZP1" s="186"/>
      <c r="RZQ1" s="186"/>
      <c r="RZR1" s="186"/>
      <c r="RZS1" s="186"/>
      <c r="RZT1" s="186"/>
      <c r="RZU1" s="186"/>
      <c r="RZV1" s="186"/>
      <c r="RZW1" s="186"/>
      <c r="RZX1" s="186"/>
      <c r="RZY1" s="186"/>
      <c r="RZZ1" s="186"/>
      <c r="SAA1" s="186"/>
      <c r="SAB1" s="186"/>
      <c r="SAC1" s="186"/>
      <c r="SAD1" s="186"/>
      <c r="SAE1" s="186"/>
      <c r="SAF1" s="186"/>
      <c r="SAG1" s="186"/>
      <c r="SAH1" s="186"/>
      <c r="SAI1" s="186"/>
      <c r="SAJ1" s="186"/>
      <c r="SAK1" s="186"/>
      <c r="SAL1" s="186"/>
      <c r="SAM1" s="186"/>
      <c r="SAN1" s="186"/>
      <c r="SAO1" s="186"/>
      <c r="SAP1" s="186"/>
      <c r="SAQ1" s="186"/>
      <c r="SAR1" s="186"/>
      <c r="SAS1" s="186"/>
      <c r="SAT1" s="186"/>
      <c r="SAU1" s="186"/>
      <c r="SAV1" s="186"/>
      <c r="SAW1" s="186"/>
      <c r="SAX1" s="186"/>
      <c r="SAY1" s="186"/>
      <c r="SAZ1" s="186"/>
      <c r="SBA1" s="186"/>
      <c r="SBB1" s="186"/>
      <c r="SBC1" s="186"/>
      <c r="SBD1" s="186"/>
      <c r="SBE1" s="186"/>
      <c r="SBF1" s="186"/>
      <c r="SBG1" s="186"/>
      <c r="SBH1" s="186"/>
      <c r="SBI1" s="186"/>
      <c r="SBJ1" s="186"/>
      <c r="SBK1" s="186"/>
      <c r="SBL1" s="186"/>
      <c r="SBM1" s="186"/>
      <c r="SBN1" s="186"/>
      <c r="SBO1" s="186"/>
      <c r="SBP1" s="186"/>
      <c r="SBQ1" s="186"/>
      <c r="SBR1" s="186"/>
      <c r="SBS1" s="186"/>
      <c r="SBT1" s="186"/>
      <c r="SBU1" s="186"/>
      <c r="SBV1" s="186"/>
      <c r="SBW1" s="186"/>
      <c r="SBX1" s="186"/>
      <c r="SBY1" s="186"/>
      <c r="SBZ1" s="186"/>
      <c r="SCA1" s="186"/>
      <c r="SCB1" s="186"/>
      <c r="SCC1" s="186"/>
      <c r="SCD1" s="186"/>
      <c r="SCE1" s="186"/>
      <c r="SCF1" s="186"/>
      <c r="SCG1" s="186"/>
      <c r="SCH1" s="186"/>
      <c r="SCI1" s="186"/>
      <c r="SCJ1" s="186"/>
      <c r="SCK1" s="186"/>
      <c r="SCL1" s="186"/>
      <c r="SCM1" s="186"/>
      <c r="SCN1" s="186"/>
      <c r="SCO1" s="186"/>
      <c r="SCP1" s="186"/>
      <c r="SCQ1" s="186"/>
      <c r="SCR1" s="186"/>
      <c r="SCS1" s="186"/>
      <c r="SCT1" s="186"/>
      <c r="SCU1" s="186"/>
      <c r="SCV1" s="186"/>
      <c r="SCW1" s="186"/>
      <c r="SCX1" s="186"/>
      <c r="SCY1" s="186"/>
      <c r="SCZ1" s="186"/>
      <c r="SDA1" s="186"/>
      <c r="SDB1" s="186"/>
      <c r="SDC1" s="186"/>
      <c r="SDD1" s="186"/>
      <c r="SDE1" s="186"/>
      <c r="SDF1" s="186"/>
      <c r="SDG1" s="186"/>
      <c r="SDH1" s="186"/>
      <c r="SDI1" s="186"/>
      <c r="SDJ1" s="186"/>
      <c r="SDK1" s="186"/>
      <c r="SDL1" s="186"/>
      <c r="SDM1" s="186"/>
      <c r="SDN1" s="186"/>
      <c r="SDO1" s="186"/>
      <c r="SDP1" s="186"/>
      <c r="SDQ1" s="186"/>
      <c r="SDR1" s="186"/>
      <c r="SDS1" s="186"/>
      <c r="SDT1" s="186"/>
      <c r="SDU1" s="186"/>
      <c r="SDV1" s="186"/>
      <c r="SDW1" s="186"/>
      <c r="SDX1" s="186"/>
      <c r="SDY1" s="186"/>
      <c r="SDZ1" s="186"/>
      <c r="SEA1" s="186"/>
      <c r="SEB1" s="186"/>
      <c r="SEC1" s="186"/>
      <c r="SED1" s="186"/>
      <c r="SEE1" s="186"/>
      <c r="SEF1" s="186"/>
      <c r="SEG1" s="186"/>
      <c r="SEH1" s="186"/>
      <c r="SEI1" s="186"/>
      <c r="SEJ1" s="186"/>
      <c r="SEK1" s="186"/>
      <c r="SEL1" s="186"/>
      <c r="SEM1" s="186"/>
      <c r="SEN1" s="186"/>
      <c r="SEO1" s="186"/>
      <c r="SEP1" s="186"/>
      <c r="SEQ1" s="186"/>
      <c r="SER1" s="186"/>
      <c r="SES1" s="186"/>
      <c r="SET1" s="186"/>
      <c r="SEU1" s="186"/>
      <c r="SEV1" s="186"/>
      <c r="SEW1" s="186"/>
      <c r="SEX1" s="186"/>
      <c r="SEY1" s="186"/>
      <c r="SEZ1" s="186"/>
      <c r="SFA1" s="186"/>
      <c r="SFB1" s="186"/>
      <c r="SFC1" s="186"/>
      <c r="SFD1" s="186"/>
      <c r="SFE1" s="186"/>
      <c r="SFF1" s="186"/>
      <c r="SFG1" s="186"/>
      <c r="SFH1" s="186"/>
      <c r="SFI1" s="186"/>
      <c r="SFJ1" s="186"/>
      <c r="SFK1" s="186"/>
      <c r="SFL1" s="186"/>
      <c r="SFM1" s="186"/>
      <c r="SFN1" s="186"/>
      <c r="SFO1" s="186"/>
      <c r="SFP1" s="186"/>
      <c r="SFQ1" s="186"/>
      <c r="SFR1" s="186"/>
      <c r="SFS1" s="186"/>
      <c r="SFT1" s="186"/>
      <c r="SFU1" s="186"/>
      <c r="SFV1" s="186"/>
      <c r="SFW1" s="186"/>
      <c r="SFX1" s="186"/>
      <c r="SFY1" s="186"/>
      <c r="SFZ1" s="186"/>
      <c r="SGA1" s="186"/>
      <c r="SGB1" s="186"/>
      <c r="SGC1" s="186"/>
      <c r="SGD1" s="186"/>
      <c r="SGE1" s="186"/>
      <c r="SGF1" s="186"/>
      <c r="SGG1" s="186"/>
      <c r="SGH1" s="186"/>
      <c r="SGI1" s="186"/>
      <c r="SGJ1" s="186"/>
      <c r="SGK1" s="186"/>
      <c r="SGL1" s="186"/>
      <c r="SGM1" s="186"/>
      <c r="SGN1" s="186"/>
      <c r="SGO1" s="186"/>
      <c r="SGP1" s="186"/>
      <c r="SGQ1" s="186"/>
      <c r="SGR1" s="186"/>
      <c r="SGS1" s="186"/>
      <c r="SGT1" s="186"/>
      <c r="SGU1" s="186"/>
      <c r="SGV1" s="186"/>
      <c r="SGW1" s="186"/>
      <c r="SGX1" s="186"/>
      <c r="SGY1" s="186"/>
      <c r="SGZ1" s="186"/>
      <c r="SHA1" s="186"/>
      <c r="SHB1" s="186"/>
      <c r="SHC1" s="186"/>
      <c r="SHD1" s="186"/>
      <c r="SHE1" s="186"/>
      <c r="SHF1" s="186"/>
      <c r="SHG1" s="186"/>
      <c r="SHH1" s="186"/>
      <c r="SHI1" s="186"/>
      <c r="SHJ1" s="186"/>
      <c r="SHK1" s="186"/>
      <c r="SHL1" s="186"/>
      <c r="SHM1" s="186"/>
      <c r="SHN1" s="186"/>
      <c r="SHO1" s="186"/>
      <c r="SHP1" s="186"/>
      <c r="SHQ1" s="186"/>
      <c r="SHR1" s="186"/>
      <c r="SHS1" s="186"/>
      <c r="SHT1" s="186"/>
      <c r="SHU1" s="186"/>
      <c r="SHV1" s="186"/>
      <c r="SHW1" s="186"/>
      <c r="SHX1" s="186"/>
      <c r="SHY1" s="186"/>
      <c r="SHZ1" s="186"/>
      <c r="SIA1" s="186"/>
      <c r="SIB1" s="186"/>
      <c r="SIC1" s="186"/>
      <c r="SID1" s="186"/>
      <c r="SIE1" s="186"/>
      <c r="SIF1" s="186"/>
      <c r="SIG1" s="186"/>
      <c r="SIH1" s="186"/>
      <c r="SII1" s="186"/>
      <c r="SIJ1" s="186"/>
      <c r="SIK1" s="186"/>
      <c r="SIL1" s="186"/>
      <c r="SIM1" s="186"/>
      <c r="SIN1" s="186"/>
      <c r="SIO1" s="186"/>
      <c r="SIP1" s="186"/>
      <c r="SIQ1" s="186"/>
      <c r="SIR1" s="186"/>
      <c r="SIS1" s="186"/>
      <c r="SIT1" s="186"/>
      <c r="SIU1" s="186"/>
      <c r="SIV1" s="186"/>
      <c r="SIW1" s="186"/>
      <c r="SIX1" s="186"/>
      <c r="SIY1" s="186"/>
      <c r="SIZ1" s="186"/>
      <c r="SJA1" s="186"/>
      <c r="SJB1" s="186"/>
      <c r="SJC1" s="186"/>
      <c r="SJD1" s="186"/>
      <c r="SJE1" s="186"/>
      <c r="SJF1" s="186"/>
      <c r="SJG1" s="186"/>
      <c r="SJH1" s="186"/>
      <c r="SJI1" s="186"/>
      <c r="SJJ1" s="186"/>
      <c r="SJK1" s="186"/>
      <c r="SJL1" s="186"/>
      <c r="SJM1" s="186"/>
      <c r="SJN1" s="186"/>
      <c r="SJO1" s="186"/>
      <c r="SJP1" s="186"/>
      <c r="SJQ1" s="186"/>
      <c r="SJR1" s="186"/>
      <c r="SJS1" s="186"/>
      <c r="SJT1" s="186"/>
      <c r="SJU1" s="186"/>
      <c r="SJV1" s="186"/>
      <c r="SJW1" s="186"/>
      <c r="SJX1" s="186"/>
      <c r="SJY1" s="186"/>
      <c r="SJZ1" s="186"/>
      <c r="SKA1" s="186"/>
      <c r="SKB1" s="186"/>
      <c r="SKC1" s="186"/>
      <c r="SKD1" s="186"/>
      <c r="SKE1" s="186"/>
      <c r="SKF1" s="186"/>
      <c r="SKG1" s="186"/>
      <c r="SKH1" s="186"/>
      <c r="SKI1" s="186"/>
      <c r="SKJ1" s="186"/>
      <c r="SKK1" s="186"/>
      <c r="SKL1" s="186"/>
      <c r="SKM1" s="186"/>
      <c r="SKN1" s="186"/>
      <c r="SKO1" s="186"/>
      <c r="SKP1" s="186"/>
      <c r="SKQ1" s="186"/>
      <c r="SKR1" s="186"/>
      <c r="SKS1" s="186"/>
      <c r="SKT1" s="186"/>
      <c r="SKU1" s="186"/>
      <c r="SKV1" s="186"/>
      <c r="SKW1" s="186"/>
      <c r="SKX1" s="186"/>
      <c r="SKY1" s="186"/>
      <c r="SKZ1" s="186"/>
      <c r="SLA1" s="186"/>
      <c r="SLB1" s="186"/>
      <c r="SLC1" s="186"/>
      <c r="SLD1" s="186"/>
      <c r="SLE1" s="186"/>
      <c r="SLF1" s="186"/>
      <c r="SLG1" s="186"/>
      <c r="SLH1" s="186"/>
      <c r="SLI1" s="186"/>
      <c r="SLJ1" s="186"/>
      <c r="SLK1" s="186"/>
      <c r="SLL1" s="186"/>
      <c r="SLM1" s="186"/>
      <c r="SLN1" s="186"/>
      <c r="SLO1" s="186"/>
      <c r="SLP1" s="186"/>
      <c r="SLQ1" s="186"/>
      <c r="SLR1" s="186"/>
      <c r="SLS1" s="186"/>
      <c r="SLT1" s="186"/>
      <c r="SLU1" s="186"/>
      <c r="SLV1" s="186"/>
      <c r="SLW1" s="186"/>
      <c r="SLX1" s="186"/>
      <c r="SLY1" s="186"/>
      <c r="SLZ1" s="186"/>
      <c r="SMA1" s="186"/>
      <c r="SMB1" s="186"/>
      <c r="SMC1" s="186"/>
      <c r="SMD1" s="186"/>
      <c r="SME1" s="186"/>
      <c r="SMF1" s="186"/>
      <c r="SMG1" s="186"/>
      <c r="SMH1" s="186"/>
      <c r="SMI1" s="186"/>
      <c r="SMJ1" s="186"/>
      <c r="SMK1" s="186"/>
      <c r="SML1" s="186"/>
      <c r="SMM1" s="186"/>
      <c r="SMN1" s="186"/>
      <c r="SMO1" s="186"/>
      <c r="SMP1" s="186"/>
      <c r="SMQ1" s="186"/>
      <c r="SMR1" s="186"/>
      <c r="SMS1" s="186"/>
      <c r="SMT1" s="186"/>
      <c r="SMU1" s="186"/>
      <c r="SMV1" s="186"/>
      <c r="SMW1" s="186"/>
      <c r="SMX1" s="186"/>
      <c r="SMY1" s="186"/>
      <c r="SMZ1" s="186"/>
      <c r="SNA1" s="186"/>
      <c r="SNB1" s="186"/>
      <c r="SNC1" s="186"/>
      <c r="SND1" s="186"/>
      <c r="SNE1" s="186"/>
      <c r="SNF1" s="186"/>
      <c r="SNG1" s="186"/>
      <c r="SNH1" s="186"/>
      <c r="SNI1" s="186"/>
      <c r="SNJ1" s="186"/>
      <c r="SNK1" s="186"/>
      <c r="SNL1" s="186"/>
      <c r="SNM1" s="186"/>
      <c r="SNN1" s="186"/>
      <c r="SNO1" s="186"/>
      <c r="SNP1" s="186"/>
      <c r="SNQ1" s="186"/>
      <c r="SNR1" s="186"/>
      <c r="SNS1" s="186"/>
      <c r="SNT1" s="186"/>
      <c r="SNU1" s="186"/>
      <c r="SNV1" s="186"/>
      <c r="SNW1" s="186"/>
      <c r="SNX1" s="186"/>
      <c r="SNY1" s="186"/>
      <c r="SNZ1" s="186"/>
      <c r="SOA1" s="186"/>
      <c r="SOB1" s="186"/>
      <c r="SOC1" s="186"/>
      <c r="SOD1" s="186"/>
      <c r="SOE1" s="186"/>
      <c r="SOF1" s="186"/>
      <c r="SOG1" s="186"/>
      <c r="SOH1" s="186"/>
      <c r="SOI1" s="186"/>
      <c r="SOJ1" s="186"/>
      <c r="SOK1" s="186"/>
      <c r="SOL1" s="186"/>
      <c r="SOM1" s="186"/>
      <c r="SON1" s="186"/>
      <c r="SOO1" s="186"/>
      <c r="SOP1" s="186"/>
      <c r="SOQ1" s="186"/>
      <c r="SOR1" s="186"/>
      <c r="SOS1" s="186"/>
      <c r="SOT1" s="186"/>
      <c r="SOU1" s="186"/>
      <c r="SOV1" s="186"/>
      <c r="SOW1" s="186"/>
      <c r="SOX1" s="186"/>
      <c r="SOY1" s="186"/>
      <c r="SOZ1" s="186"/>
      <c r="SPA1" s="186"/>
      <c r="SPB1" s="186"/>
      <c r="SPC1" s="186"/>
      <c r="SPD1" s="186"/>
      <c r="SPE1" s="186"/>
      <c r="SPF1" s="186"/>
      <c r="SPG1" s="186"/>
      <c r="SPH1" s="186"/>
      <c r="SPI1" s="186"/>
      <c r="SPJ1" s="186"/>
      <c r="SPK1" s="186"/>
      <c r="SPL1" s="186"/>
      <c r="SPM1" s="186"/>
      <c r="SPN1" s="186"/>
      <c r="SPO1" s="186"/>
      <c r="SPP1" s="186"/>
      <c r="SPQ1" s="186"/>
      <c r="SPR1" s="186"/>
      <c r="SPS1" s="186"/>
      <c r="SPT1" s="186"/>
      <c r="SPU1" s="186"/>
      <c r="SPV1" s="186"/>
      <c r="SPW1" s="186"/>
      <c r="SPX1" s="186"/>
      <c r="SPY1" s="186"/>
      <c r="SPZ1" s="186"/>
      <c r="SQA1" s="186"/>
      <c r="SQB1" s="186"/>
      <c r="SQC1" s="186"/>
      <c r="SQD1" s="186"/>
      <c r="SQE1" s="186"/>
      <c r="SQF1" s="186"/>
      <c r="SQG1" s="186"/>
      <c r="SQH1" s="186"/>
      <c r="SQI1" s="186"/>
      <c r="SQJ1" s="186"/>
      <c r="SQK1" s="186"/>
      <c r="SQL1" s="186"/>
      <c r="SQM1" s="186"/>
      <c r="SQN1" s="186"/>
      <c r="SQO1" s="186"/>
      <c r="SQP1" s="186"/>
      <c r="SQQ1" s="186"/>
      <c r="SQR1" s="186"/>
      <c r="SQS1" s="186"/>
      <c r="SQT1" s="186"/>
      <c r="SQU1" s="186"/>
      <c r="SQV1" s="186"/>
      <c r="SQW1" s="186"/>
      <c r="SQX1" s="186"/>
      <c r="SQY1" s="186"/>
      <c r="SQZ1" s="186"/>
      <c r="SRA1" s="186"/>
      <c r="SRB1" s="186"/>
      <c r="SRC1" s="186"/>
      <c r="SRD1" s="186"/>
      <c r="SRE1" s="186"/>
      <c r="SRF1" s="186"/>
      <c r="SRG1" s="186"/>
      <c r="SRH1" s="186"/>
      <c r="SRI1" s="186"/>
      <c r="SRJ1" s="186"/>
      <c r="SRK1" s="186"/>
      <c r="SRL1" s="186"/>
      <c r="SRM1" s="186"/>
      <c r="SRN1" s="186"/>
      <c r="SRO1" s="186"/>
      <c r="SRP1" s="186"/>
      <c r="SRQ1" s="186"/>
      <c r="SRR1" s="186"/>
      <c r="SRS1" s="186"/>
      <c r="SRT1" s="186"/>
      <c r="SRU1" s="186"/>
      <c r="SRV1" s="186"/>
      <c r="SRW1" s="186"/>
      <c r="SRX1" s="186"/>
      <c r="SRY1" s="186"/>
      <c r="SRZ1" s="186"/>
      <c r="SSA1" s="186"/>
      <c r="SSB1" s="186"/>
      <c r="SSC1" s="186"/>
      <c r="SSD1" s="186"/>
      <c r="SSE1" s="186"/>
      <c r="SSF1" s="186"/>
      <c r="SSG1" s="186"/>
      <c r="SSH1" s="186"/>
      <c r="SSI1" s="186"/>
      <c r="SSJ1" s="186"/>
      <c r="SSK1" s="186"/>
      <c r="SSL1" s="186"/>
      <c r="SSM1" s="186"/>
      <c r="SSN1" s="186"/>
      <c r="SSO1" s="186"/>
      <c r="SSP1" s="186"/>
      <c r="SSQ1" s="186"/>
      <c r="SSR1" s="186"/>
      <c r="SSS1" s="186"/>
      <c r="SST1" s="186"/>
      <c r="SSU1" s="186"/>
      <c r="SSV1" s="186"/>
      <c r="SSW1" s="186"/>
      <c r="SSX1" s="186"/>
      <c r="SSY1" s="186"/>
      <c r="SSZ1" s="186"/>
      <c r="STA1" s="186"/>
      <c r="STB1" s="186"/>
      <c r="STC1" s="186"/>
      <c r="STD1" s="186"/>
      <c r="STE1" s="186"/>
      <c r="STF1" s="186"/>
      <c r="STG1" s="186"/>
      <c r="STH1" s="186"/>
      <c r="STI1" s="186"/>
      <c r="STJ1" s="186"/>
      <c r="STK1" s="186"/>
      <c r="STL1" s="186"/>
      <c r="STM1" s="186"/>
      <c r="STN1" s="186"/>
      <c r="STO1" s="186"/>
      <c r="STP1" s="186"/>
      <c r="STQ1" s="186"/>
      <c r="STR1" s="186"/>
      <c r="STS1" s="186"/>
      <c r="STT1" s="186"/>
      <c r="STU1" s="186"/>
      <c r="STV1" s="186"/>
      <c r="STW1" s="186"/>
      <c r="STX1" s="186"/>
      <c r="STY1" s="186"/>
      <c r="STZ1" s="186"/>
      <c r="SUA1" s="186"/>
      <c r="SUB1" s="186"/>
      <c r="SUC1" s="186"/>
      <c r="SUD1" s="186"/>
      <c r="SUE1" s="186"/>
      <c r="SUF1" s="186"/>
      <c r="SUG1" s="186"/>
      <c r="SUH1" s="186"/>
      <c r="SUI1" s="186"/>
      <c r="SUJ1" s="186"/>
      <c r="SUK1" s="186"/>
      <c r="SUL1" s="186"/>
      <c r="SUM1" s="186"/>
      <c r="SUN1" s="186"/>
      <c r="SUO1" s="186"/>
      <c r="SUP1" s="186"/>
      <c r="SUQ1" s="186"/>
      <c r="SUR1" s="186"/>
      <c r="SUS1" s="186"/>
      <c r="SUT1" s="186"/>
      <c r="SUU1" s="186"/>
      <c r="SUV1" s="186"/>
      <c r="SUW1" s="186"/>
      <c r="SUX1" s="186"/>
      <c r="SUY1" s="186"/>
      <c r="SUZ1" s="186"/>
      <c r="SVA1" s="186"/>
      <c r="SVB1" s="186"/>
      <c r="SVC1" s="186"/>
      <c r="SVD1" s="186"/>
      <c r="SVE1" s="186"/>
      <c r="SVF1" s="186"/>
      <c r="SVG1" s="186"/>
      <c r="SVH1" s="186"/>
      <c r="SVI1" s="186"/>
      <c r="SVJ1" s="186"/>
      <c r="SVK1" s="186"/>
      <c r="SVL1" s="186"/>
      <c r="SVM1" s="186"/>
      <c r="SVN1" s="186"/>
      <c r="SVO1" s="186"/>
      <c r="SVP1" s="186"/>
      <c r="SVQ1" s="186"/>
      <c r="SVR1" s="186"/>
      <c r="SVS1" s="186"/>
      <c r="SVT1" s="186"/>
      <c r="SVU1" s="186"/>
      <c r="SVV1" s="186"/>
      <c r="SVW1" s="186"/>
      <c r="SVX1" s="186"/>
      <c r="SVY1" s="186"/>
      <c r="SVZ1" s="186"/>
      <c r="SWA1" s="186"/>
      <c r="SWB1" s="186"/>
      <c r="SWC1" s="186"/>
      <c r="SWD1" s="186"/>
      <c r="SWE1" s="186"/>
      <c r="SWF1" s="186"/>
      <c r="SWG1" s="186"/>
      <c r="SWH1" s="186"/>
      <c r="SWI1" s="186"/>
      <c r="SWJ1" s="186"/>
      <c r="SWK1" s="186"/>
      <c r="SWL1" s="186"/>
      <c r="SWM1" s="186"/>
      <c r="SWN1" s="186"/>
      <c r="SWO1" s="186"/>
      <c r="SWP1" s="186"/>
      <c r="SWQ1" s="186"/>
      <c r="SWR1" s="186"/>
      <c r="SWS1" s="186"/>
      <c r="SWT1" s="186"/>
      <c r="SWU1" s="186"/>
      <c r="SWV1" s="186"/>
      <c r="SWW1" s="186"/>
      <c r="SWX1" s="186"/>
      <c r="SWY1" s="186"/>
      <c r="SWZ1" s="186"/>
      <c r="SXA1" s="186"/>
      <c r="SXB1" s="186"/>
      <c r="SXC1" s="186"/>
      <c r="SXD1" s="186"/>
      <c r="SXE1" s="186"/>
      <c r="SXF1" s="186"/>
      <c r="SXG1" s="186"/>
      <c r="SXH1" s="186"/>
      <c r="SXI1" s="186"/>
      <c r="SXJ1" s="186"/>
      <c r="SXK1" s="186"/>
      <c r="SXL1" s="186"/>
      <c r="SXM1" s="186"/>
      <c r="SXN1" s="186"/>
      <c r="SXO1" s="186"/>
      <c r="SXP1" s="186"/>
      <c r="SXQ1" s="186"/>
      <c r="SXR1" s="186"/>
      <c r="SXS1" s="186"/>
      <c r="SXT1" s="186"/>
      <c r="SXU1" s="186"/>
      <c r="SXV1" s="186"/>
      <c r="SXW1" s="186"/>
      <c r="SXX1" s="186"/>
      <c r="SXY1" s="186"/>
      <c r="SXZ1" s="186"/>
      <c r="SYA1" s="186"/>
      <c r="SYB1" s="186"/>
      <c r="SYC1" s="186"/>
      <c r="SYD1" s="186"/>
      <c r="SYE1" s="186"/>
      <c r="SYF1" s="186"/>
      <c r="SYG1" s="186"/>
      <c r="SYH1" s="186"/>
      <c r="SYI1" s="186"/>
      <c r="SYJ1" s="186"/>
      <c r="SYK1" s="186"/>
      <c r="SYL1" s="186"/>
      <c r="SYM1" s="186"/>
      <c r="SYN1" s="186"/>
      <c r="SYO1" s="186"/>
      <c r="SYP1" s="186"/>
      <c r="SYQ1" s="186"/>
      <c r="SYR1" s="186"/>
      <c r="SYS1" s="186"/>
      <c r="SYT1" s="186"/>
      <c r="SYU1" s="186"/>
      <c r="SYV1" s="186"/>
      <c r="SYW1" s="186"/>
      <c r="SYX1" s="186"/>
      <c r="SYY1" s="186"/>
      <c r="SYZ1" s="186"/>
      <c r="SZA1" s="186"/>
      <c r="SZB1" s="186"/>
      <c r="SZC1" s="186"/>
      <c r="SZD1" s="186"/>
      <c r="SZE1" s="186"/>
      <c r="SZF1" s="186"/>
      <c r="SZG1" s="186"/>
      <c r="SZH1" s="186"/>
      <c r="SZI1" s="186"/>
      <c r="SZJ1" s="186"/>
      <c r="SZK1" s="186"/>
      <c r="SZL1" s="186"/>
      <c r="SZM1" s="186"/>
      <c r="SZN1" s="186"/>
      <c r="SZO1" s="186"/>
      <c r="SZP1" s="186"/>
      <c r="SZQ1" s="186"/>
      <c r="SZR1" s="186"/>
      <c r="SZS1" s="186"/>
      <c r="SZT1" s="186"/>
      <c r="SZU1" s="186"/>
      <c r="SZV1" s="186"/>
      <c r="SZW1" s="186"/>
      <c r="SZX1" s="186"/>
      <c r="SZY1" s="186"/>
      <c r="SZZ1" s="186"/>
      <c r="TAA1" s="186"/>
      <c r="TAB1" s="186"/>
      <c r="TAC1" s="186"/>
      <c r="TAD1" s="186"/>
      <c r="TAE1" s="186"/>
      <c r="TAF1" s="186"/>
      <c r="TAG1" s="186"/>
      <c r="TAH1" s="186"/>
      <c r="TAI1" s="186"/>
      <c r="TAJ1" s="186"/>
      <c r="TAK1" s="186"/>
      <c r="TAL1" s="186"/>
      <c r="TAM1" s="186"/>
      <c r="TAN1" s="186"/>
      <c r="TAO1" s="186"/>
      <c r="TAP1" s="186"/>
      <c r="TAQ1" s="186"/>
      <c r="TAR1" s="186"/>
      <c r="TAS1" s="186"/>
      <c r="TAT1" s="186"/>
      <c r="TAU1" s="186"/>
      <c r="TAV1" s="186"/>
      <c r="TAW1" s="186"/>
      <c r="TAX1" s="186"/>
      <c r="TAY1" s="186"/>
      <c r="TAZ1" s="186"/>
      <c r="TBA1" s="186"/>
      <c r="TBB1" s="186"/>
      <c r="TBC1" s="186"/>
      <c r="TBD1" s="186"/>
      <c r="TBE1" s="186"/>
      <c r="TBF1" s="186"/>
      <c r="TBG1" s="186"/>
      <c r="TBH1" s="186"/>
      <c r="TBI1" s="186"/>
      <c r="TBJ1" s="186"/>
      <c r="TBK1" s="186"/>
      <c r="TBL1" s="186"/>
      <c r="TBM1" s="186"/>
      <c r="TBN1" s="186"/>
      <c r="TBO1" s="186"/>
      <c r="TBP1" s="186"/>
      <c r="TBQ1" s="186"/>
      <c r="TBR1" s="186"/>
      <c r="TBS1" s="186"/>
      <c r="TBT1" s="186"/>
      <c r="TBU1" s="186"/>
      <c r="TBV1" s="186"/>
      <c r="TBW1" s="186"/>
      <c r="TBX1" s="186"/>
      <c r="TBY1" s="186"/>
      <c r="TBZ1" s="186"/>
      <c r="TCA1" s="186"/>
      <c r="TCB1" s="186"/>
      <c r="TCC1" s="186"/>
      <c r="TCD1" s="186"/>
      <c r="TCE1" s="186"/>
      <c r="TCF1" s="186"/>
      <c r="TCG1" s="186"/>
      <c r="TCH1" s="186"/>
      <c r="TCI1" s="186"/>
      <c r="TCJ1" s="186"/>
      <c r="TCK1" s="186"/>
      <c r="TCL1" s="186"/>
      <c r="TCM1" s="186"/>
      <c r="TCN1" s="186"/>
      <c r="TCO1" s="186"/>
      <c r="TCP1" s="186"/>
      <c r="TCQ1" s="186"/>
      <c r="TCR1" s="186"/>
      <c r="TCS1" s="186"/>
      <c r="TCT1" s="186"/>
      <c r="TCU1" s="186"/>
      <c r="TCV1" s="186"/>
      <c r="TCW1" s="186"/>
      <c r="TCX1" s="186"/>
      <c r="TCY1" s="186"/>
      <c r="TCZ1" s="186"/>
      <c r="TDA1" s="186"/>
      <c r="TDB1" s="186"/>
      <c r="TDC1" s="186"/>
      <c r="TDD1" s="186"/>
      <c r="TDE1" s="186"/>
      <c r="TDF1" s="186"/>
      <c r="TDG1" s="186"/>
      <c r="TDH1" s="186"/>
      <c r="TDI1" s="186"/>
      <c r="TDJ1" s="186"/>
      <c r="TDK1" s="186"/>
      <c r="TDL1" s="186"/>
      <c r="TDM1" s="186"/>
      <c r="TDN1" s="186"/>
      <c r="TDO1" s="186"/>
      <c r="TDP1" s="186"/>
      <c r="TDQ1" s="186"/>
      <c r="TDR1" s="186"/>
      <c r="TDS1" s="186"/>
      <c r="TDT1" s="186"/>
      <c r="TDU1" s="186"/>
      <c r="TDV1" s="186"/>
      <c r="TDW1" s="186"/>
      <c r="TDX1" s="186"/>
      <c r="TDY1" s="186"/>
      <c r="TDZ1" s="186"/>
      <c r="TEA1" s="186"/>
      <c r="TEB1" s="186"/>
      <c r="TEC1" s="186"/>
      <c r="TED1" s="186"/>
      <c r="TEE1" s="186"/>
      <c r="TEF1" s="186"/>
      <c r="TEG1" s="186"/>
      <c r="TEH1" s="186"/>
      <c r="TEI1" s="186"/>
      <c r="TEJ1" s="186"/>
      <c r="TEK1" s="186"/>
      <c r="TEL1" s="186"/>
      <c r="TEM1" s="186"/>
      <c r="TEN1" s="186"/>
      <c r="TEO1" s="186"/>
      <c r="TEP1" s="186"/>
      <c r="TEQ1" s="186"/>
      <c r="TER1" s="186"/>
      <c r="TES1" s="186"/>
      <c r="TET1" s="186"/>
      <c r="TEU1" s="186"/>
      <c r="TEV1" s="186"/>
      <c r="TEW1" s="186"/>
      <c r="TEX1" s="186"/>
      <c r="TEY1" s="186"/>
      <c r="TEZ1" s="186"/>
      <c r="TFA1" s="186"/>
      <c r="TFB1" s="186"/>
      <c r="TFC1" s="186"/>
      <c r="TFD1" s="186"/>
      <c r="TFE1" s="186"/>
      <c r="TFF1" s="186"/>
      <c r="TFG1" s="186"/>
      <c r="TFH1" s="186"/>
      <c r="TFI1" s="186"/>
      <c r="TFJ1" s="186"/>
      <c r="TFK1" s="186"/>
      <c r="TFL1" s="186"/>
      <c r="TFM1" s="186"/>
      <c r="TFN1" s="186"/>
      <c r="TFO1" s="186"/>
      <c r="TFP1" s="186"/>
      <c r="TFQ1" s="186"/>
      <c r="TFR1" s="186"/>
      <c r="TFS1" s="186"/>
      <c r="TFT1" s="186"/>
      <c r="TFU1" s="186"/>
      <c r="TFV1" s="186"/>
      <c r="TFW1" s="186"/>
      <c r="TFX1" s="186"/>
      <c r="TFY1" s="186"/>
      <c r="TFZ1" s="186"/>
      <c r="TGA1" s="186"/>
      <c r="TGB1" s="186"/>
      <c r="TGC1" s="186"/>
      <c r="TGD1" s="186"/>
      <c r="TGE1" s="186"/>
      <c r="TGF1" s="186"/>
      <c r="TGG1" s="186"/>
      <c r="TGH1" s="186"/>
      <c r="TGI1" s="186"/>
      <c r="TGJ1" s="186"/>
      <c r="TGK1" s="186"/>
      <c r="TGL1" s="186"/>
      <c r="TGM1" s="186"/>
      <c r="TGN1" s="186"/>
      <c r="TGO1" s="186"/>
      <c r="TGP1" s="186"/>
      <c r="TGQ1" s="186"/>
      <c r="TGR1" s="186"/>
      <c r="TGS1" s="186"/>
      <c r="TGT1" s="186"/>
      <c r="TGU1" s="186"/>
      <c r="TGV1" s="186"/>
      <c r="TGW1" s="186"/>
      <c r="TGX1" s="186"/>
      <c r="TGY1" s="186"/>
      <c r="TGZ1" s="186"/>
      <c r="THA1" s="186"/>
      <c r="THB1" s="186"/>
      <c r="THC1" s="186"/>
      <c r="THD1" s="186"/>
      <c r="THE1" s="186"/>
      <c r="THF1" s="186"/>
      <c r="THG1" s="186"/>
      <c r="THH1" s="186"/>
      <c r="THI1" s="186"/>
      <c r="THJ1" s="186"/>
      <c r="THK1" s="186"/>
      <c r="THL1" s="186"/>
      <c r="THM1" s="186"/>
      <c r="THN1" s="186"/>
      <c r="THO1" s="186"/>
      <c r="THP1" s="186"/>
      <c r="THQ1" s="186"/>
      <c r="THR1" s="186"/>
      <c r="THS1" s="186"/>
      <c r="THT1" s="186"/>
      <c r="THU1" s="186"/>
      <c r="THV1" s="186"/>
      <c r="THW1" s="186"/>
      <c r="THX1" s="186"/>
      <c r="THY1" s="186"/>
      <c r="THZ1" s="186"/>
      <c r="TIA1" s="186"/>
      <c r="TIB1" s="186"/>
      <c r="TIC1" s="186"/>
      <c r="TID1" s="186"/>
      <c r="TIE1" s="186"/>
      <c r="TIF1" s="186"/>
      <c r="TIG1" s="186"/>
      <c r="TIH1" s="186"/>
      <c r="TII1" s="186"/>
      <c r="TIJ1" s="186"/>
      <c r="TIK1" s="186"/>
      <c r="TIL1" s="186"/>
      <c r="TIM1" s="186"/>
      <c r="TIN1" s="186"/>
      <c r="TIO1" s="186"/>
      <c r="TIP1" s="186"/>
      <c r="TIQ1" s="186"/>
      <c r="TIR1" s="186"/>
      <c r="TIS1" s="186"/>
      <c r="TIT1" s="186"/>
      <c r="TIU1" s="186"/>
      <c r="TIV1" s="186"/>
      <c r="TIW1" s="186"/>
      <c r="TIX1" s="186"/>
      <c r="TIY1" s="186"/>
      <c r="TIZ1" s="186"/>
      <c r="TJA1" s="186"/>
      <c r="TJB1" s="186"/>
      <c r="TJC1" s="186"/>
      <c r="TJD1" s="186"/>
      <c r="TJE1" s="186"/>
      <c r="TJF1" s="186"/>
      <c r="TJG1" s="186"/>
      <c r="TJH1" s="186"/>
      <c r="TJI1" s="186"/>
      <c r="TJJ1" s="186"/>
      <c r="TJK1" s="186"/>
      <c r="TJL1" s="186"/>
      <c r="TJM1" s="186"/>
      <c r="TJN1" s="186"/>
      <c r="TJO1" s="186"/>
      <c r="TJP1" s="186"/>
      <c r="TJQ1" s="186"/>
      <c r="TJR1" s="186"/>
      <c r="TJS1" s="186"/>
      <c r="TJT1" s="186"/>
      <c r="TJU1" s="186"/>
      <c r="TJV1" s="186"/>
      <c r="TJW1" s="186"/>
      <c r="TJX1" s="186"/>
      <c r="TJY1" s="186"/>
      <c r="TJZ1" s="186"/>
      <c r="TKA1" s="186"/>
      <c r="TKB1" s="186"/>
      <c r="TKC1" s="186"/>
      <c r="TKD1" s="186"/>
      <c r="TKE1" s="186"/>
      <c r="TKF1" s="186"/>
      <c r="TKG1" s="186"/>
      <c r="TKH1" s="186"/>
      <c r="TKI1" s="186"/>
      <c r="TKJ1" s="186"/>
      <c r="TKK1" s="186"/>
      <c r="TKL1" s="186"/>
      <c r="TKM1" s="186"/>
      <c r="TKN1" s="186"/>
      <c r="TKO1" s="186"/>
      <c r="TKP1" s="186"/>
      <c r="TKQ1" s="186"/>
      <c r="TKR1" s="186"/>
      <c r="TKS1" s="186"/>
      <c r="TKT1" s="186"/>
      <c r="TKU1" s="186"/>
      <c r="TKV1" s="186"/>
      <c r="TKW1" s="186"/>
      <c r="TKX1" s="186"/>
      <c r="TKY1" s="186"/>
      <c r="TKZ1" s="186"/>
      <c r="TLA1" s="186"/>
      <c r="TLB1" s="186"/>
      <c r="TLC1" s="186"/>
      <c r="TLD1" s="186"/>
      <c r="TLE1" s="186"/>
      <c r="TLF1" s="186"/>
      <c r="TLG1" s="186"/>
      <c r="TLH1" s="186"/>
      <c r="TLI1" s="186"/>
      <c r="TLJ1" s="186"/>
      <c r="TLK1" s="186"/>
      <c r="TLL1" s="186"/>
      <c r="TLM1" s="186"/>
      <c r="TLN1" s="186"/>
      <c r="TLO1" s="186"/>
      <c r="TLP1" s="186"/>
      <c r="TLQ1" s="186"/>
      <c r="TLR1" s="186"/>
      <c r="TLS1" s="186"/>
      <c r="TLT1" s="186"/>
      <c r="TLU1" s="186"/>
      <c r="TLV1" s="186"/>
      <c r="TLW1" s="186"/>
      <c r="TLX1" s="186"/>
      <c r="TLY1" s="186"/>
      <c r="TLZ1" s="186"/>
      <c r="TMA1" s="186"/>
      <c r="TMB1" s="186"/>
      <c r="TMC1" s="186"/>
      <c r="TMD1" s="186"/>
      <c r="TME1" s="186"/>
      <c r="TMF1" s="186"/>
      <c r="TMG1" s="186"/>
      <c r="TMH1" s="186"/>
      <c r="TMI1" s="186"/>
      <c r="TMJ1" s="186"/>
      <c r="TMK1" s="186"/>
      <c r="TML1" s="186"/>
      <c r="TMM1" s="186"/>
      <c r="TMN1" s="186"/>
      <c r="TMO1" s="186"/>
      <c r="TMP1" s="186"/>
      <c r="TMQ1" s="186"/>
      <c r="TMR1" s="186"/>
      <c r="TMS1" s="186"/>
      <c r="TMT1" s="186"/>
      <c r="TMU1" s="186"/>
      <c r="TMV1" s="186"/>
      <c r="TMW1" s="186"/>
      <c r="TMX1" s="186"/>
      <c r="TMY1" s="186"/>
      <c r="TMZ1" s="186"/>
      <c r="TNA1" s="186"/>
      <c r="TNB1" s="186"/>
      <c r="TNC1" s="186"/>
      <c r="TND1" s="186"/>
      <c r="TNE1" s="186"/>
      <c r="TNF1" s="186"/>
      <c r="TNG1" s="186"/>
      <c r="TNH1" s="186"/>
      <c r="TNI1" s="186"/>
      <c r="TNJ1" s="186"/>
      <c r="TNK1" s="186"/>
      <c r="TNL1" s="186"/>
      <c r="TNM1" s="186"/>
      <c r="TNN1" s="186"/>
      <c r="TNO1" s="186"/>
      <c r="TNP1" s="186"/>
      <c r="TNQ1" s="186"/>
      <c r="TNR1" s="186"/>
      <c r="TNS1" s="186"/>
      <c r="TNT1" s="186"/>
      <c r="TNU1" s="186"/>
      <c r="TNV1" s="186"/>
      <c r="TNW1" s="186"/>
      <c r="TNX1" s="186"/>
      <c r="TNY1" s="186"/>
      <c r="TNZ1" s="186"/>
      <c r="TOA1" s="186"/>
      <c r="TOB1" s="186"/>
      <c r="TOC1" s="186"/>
      <c r="TOD1" s="186"/>
      <c r="TOE1" s="186"/>
      <c r="TOF1" s="186"/>
      <c r="TOG1" s="186"/>
      <c r="TOH1" s="186"/>
      <c r="TOI1" s="186"/>
      <c r="TOJ1" s="186"/>
      <c r="TOK1" s="186"/>
      <c r="TOL1" s="186"/>
      <c r="TOM1" s="186"/>
      <c r="TON1" s="186"/>
      <c r="TOO1" s="186"/>
      <c r="TOP1" s="186"/>
      <c r="TOQ1" s="186"/>
      <c r="TOR1" s="186"/>
      <c r="TOS1" s="186"/>
      <c r="TOT1" s="186"/>
      <c r="TOU1" s="186"/>
      <c r="TOV1" s="186"/>
      <c r="TOW1" s="186"/>
      <c r="TOX1" s="186"/>
      <c r="TOY1" s="186"/>
      <c r="TOZ1" s="186"/>
      <c r="TPA1" s="186"/>
      <c r="TPB1" s="186"/>
      <c r="TPC1" s="186"/>
      <c r="TPD1" s="186"/>
      <c r="TPE1" s="186"/>
      <c r="TPF1" s="186"/>
      <c r="TPG1" s="186"/>
      <c r="TPH1" s="186"/>
      <c r="TPI1" s="186"/>
      <c r="TPJ1" s="186"/>
      <c r="TPK1" s="186"/>
      <c r="TPL1" s="186"/>
      <c r="TPM1" s="186"/>
      <c r="TPN1" s="186"/>
      <c r="TPO1" s="186"/>
      <c r="TPP1" s="186"/>
      <c r="TPQ1" s="186"/>
      <c r="TPR1" s="186"/>
      <c r="TPS1" s="186"/>
      <c r="TPT1" s="186"/>
      <c r="TPU1" s="186"/>
      <c r="TPV1" s="186"/>
      <c r="TPW1" s="186"/>
      <c r="TPX1" s="186"/>
      <c r="TPY1" s="186"/>
      <c r="TPZ1" s="186"/>
      <c r="TQA1" s="186"/>
      <c r="TQB1" s="186"/>
      <c r="TQC1" s="186"/>
      <c r="TQD1" s="186"/>
      <c r="TQE1" s="186"/>
      <c r="TQF1" s="186"/>
      <c r="TQG1" s="186"/>
      <c r="TQH1" s="186"/>
      <c r="TQI1" s="186"/>
      <c r="TQJ1" s="186"/>
      <c r="TQK1" s="186"/>
      <c r="TQL1" s="186"/>
      <c r="TQM1" s="186"/>
      <c r="TQN1" s="186"/>
      <c r="TQO1" s="186"/>
      <c r="TQP1" s="186"/>
      <c r="TQQ1" s="186"/>
      <c r="TQR1" s="186"/>
      <c r="TQS1" s="186"/>
      <c r="TQT1" s="186"/>
      <c r="TQU1" s="186"/>
      <c r="TQV1" s="186"/>
      <c r="TQW1" s="186"/>
      <c r="TQX1" s="186"/>
      <c r="TQY1" s="186"/>
      <c r="TQZ1" s="186"/>
      <c r="TRA1" s="186"/>
      <c r="TRB1" s="186"/>
      <c r="TRC1" s="186"/>
      <c r="TRD1" s="186"/>
      <c r="TRE1" s="186"/>
      <c r="TRF1" s="186"/>
      <c r="TRG1" s="186"/>
      <c r="TRH1" s="186"/>
      <c r="TRI1" s="186"/>
      <c r="TRJ1" s="186"/>
      <c r="TRK1" s="186"/>
      <c r="TRL1" s="186"/>
      <c r="TRM1" s="186"/>
      <c r="TRN1" s="186"/>
      <c r="TRO1" s="186"/>
      <c r="TRP1" s="186"/>
      <c r="TRQ1" s="186"/>
      <c r="TRR1" s="186"/>
      <c r="TRS1" s="186"/>
      <c r="TRT1" s="186"/>
      <c r="TRU1" s="186"/>
      <c r="TRV1" s="186"/>
      <c r="TRW1" s="186"/>
      <c r="TRX1" s="186"/>
      <c r="TRY1" s="186"/>
      <c r="TRZ1" s="186"/>
      <c r="TSA1" s="186"/>
      <c r="TSB1" s="186"/>
      <c r="TSC1" s="186"/>
      <c r="TSD1" s="186"/>
      <c r="TSE1" s="186"/>
      <c r="TSF1" s="186"/>
      <c r="TSG1" s="186"/>
      <c r="TSH1" s="186"/>
      <c r="TSI1" s="186"/>
      <c r="TSJ1" s="186"/>
      <c r="TSK1" s="186"/>
      <c r="TSL1" s="186"/>
      <c r="TSM1" s="186"/>
      <c r="TSN1" s="186"/>
      <c r="TSO1" s="186"/>
      <c r="TSP1" s="186"/>
      <c r="TSQ1" s="186"/>
      <c r="TSR1" s="186"/>
      <c r="TSS1" s="186"/>
      <c r="TST1" s="186"/>
      <c r="TSU1" s="186"/>
      <c r="TSV1" s="186"/>
      <c r="TSW1" s="186"/>
      <c r="TSX1" s="186"/>
      <c r="TSY1" s="186"/>
      <c r="TSZ1" s="186"/>
      <c r="TTA1" s="186"/>
      <c r="TTB1" s="186"/>
      <c r="TTC1" s="186"/>
      <c r="TTD1" s="186"/>
      <c r="TTE1" s="186"/>
      <c r="TTF1" s="186"/>
      <c r="TTG1" s="186"/>
      <c r="TTH1" s="186"/>
      <c r="TTI1" s="186"/>
      <c r="TTJ1" s="186"/>
      <c r="TTK1" s="186"/>
      <c r="TTL1" s="186"/>
      <c r="TTM1" s="186"/>
      <c r="TTN1" s="186"/>
      <c r="TTO1" s="186"/>
      <c r="TTP1" s="186"/>
      <c r="TTQ1" s="186"/>
      <c r="TTR1" s="186"/>
      <c r="TTS1" s="186"/>
      <c r="TTT1" s="186"/>
      <c r="TTU1" s="186"/>
      <c r="TTV1" s="186"/>
      <c r="TTW1" s="186"/>
      <c r="TTX1" s="186"/>
      <c r="TTY1" s="186"/>
      <c r="TTZ1" s="186"/>
      <c r="TUA1" s="186"/>
      <c r="TUB1" s="186"/>
      <c r="TUC1" s="186"/>
      <c r="TUD1" s="186"/>
      <c r="TUE1" s="186"/>
      <c r="TUF1" s="186"/>
      <c r="TUG1" s="186"/>
      <c r="TUH1" s="186"/>
      <c r="TUI1" s="186"/>
      <c r="TUJ1" s="186"/>
      <c r="TUK1" s="186"/>
      <c r="TUL1" s="186"/>
      <c r="TUM1" s="186"/>
      <c r="TUN1" s="186"/>
      <c r="TUO1" s="186"/>
      <c r="TUP1" s="186"/>
      <c r="TUQ1" s="186"/>
      <c r="TUR1" s="186"/>
      <c r="TUS1" s="186"/>
      <c r="TUT1" s="186"/>
      <c r="TUU1" s="186"/>
      <c r="TUV1" s="186"/>
      <c r="TUW1" s="186"/>
      <c r="TUX1" s="186"/>
      <c r="TUY1" s="186"/>
      <c r="TUZ1" s="186"/>
      <c r="TVA1" s="186"/>
      <c r="TVB1" s="186"/>
      <c r="TVC1" s="186"/>
      <c r="TVD1" s="186"/>
      <c r="TVE1" s="186"/>
      <c r="TVF1" s="186"/>
      <c r="TVG1" s="186"/>
      <c r="TVH1" s="186"/>
      <c r="TVI1" s="186"/>
      <c r="TVJ1" s="186"/>
      <c r="TVK1" s="186"/>
      <c r="TVL1" s="186"/>
      <c r="TVM1" s="186"/>
      <c r="TVN1" s="186"/>
      <c r="TVO1" s="186"/>
      <c r="TVP1" s="186"/>
      <c r="TVQ1" s="186"/>
      <c r="TVR1" s="186"/>
      <c r="TVS1" s="186"/>
      <c r="TVT1" s="186"/>
      <c r="TVU1" s="186"/>
      <c r="TVV1" s="186"/>
      <c r="TVW1" s="186"/>
      <c r="TVX1" s="186"/>
      <c r="TVY1" s="186"/>
      <c r="TVZ1" s="186"/>
      <c r="TWA1" s="186"/>
      <c r="TWB1" s="186"/>
      <c r="TWC1" s="186"/>
      <c r="TWD1" s="186"/>
      <c r="TWE1" s="186"/>
      <c r="TWF1" s="186"/>
      <c r="TWG1" s="186"/>
      <c r="TWH1" s="186"/>
      <c r="TWI1" s="186"/>
      <c r="TWJ1" s="186"/>
      <c r="TWK1" s="186"/>
      <c r="TWL1" s="186"/>
      <c r="TWM1" s="186"/>
      <c r="TWN1" s="186"/>
      <c r="TWO1" s="186"/>
      <c r="TWP1" s="186"/>
      <c r="TWQ1" s="186"/>
      <c r="TWR1" s="186"/>
      <c r="TWS1" s="186"/>
      <c r="TWT1" s="186"/>
      <c r="TWU1" s="186"/>
      <c r="TWV1" s="186"/>
      <c r="TWW1" s="186"/>
      <c r="TWX1" s="186"/>
      <c r="TWY1" s="186"/>
      <c r="TWZ1" s="186"/>
      <c r="TXA1" s="186"/>
      <c r="TXB1" s="186"/>
      <c r="TXC1" s="186"/>
      <c r="TXD1" s="186"/>
      <c r="TXE1" s="186"/>
      <c r="TXF1" s="186"/>
      <c r="TXG1" s="186"/>
      <c r="TXH1" s="186"/>
      <c r="TXI1" s="186"/>
      <c r="TXJ1" s="186"/>
      <c r="TXK1" s="186"/>
      <c r="TXL1" s="186"/>
      <c r="TXM1" s="186"/>
      <c r="TXN1" s="186"/>
      <c r="TXO1" s="186"/>
      <c r="TXP1" s="186"/>
      <c r="TXQ1" s="186"/>
      <c r="TXR1" s="186"/>
      <c r="TXS1" s="186"/>
      <c r="TXT1" s="186"/>
      <c r="TXU1" s="186"/>
      <c r="TXV1" s="186"/>
      <c r="TXW1" s="186"/>
      <c r="TXX1" s="186"/>
      <c r="TXY1" s="186"/>
      <c r="TXZ1" s="186"/>
      <c r="TYA1" s="186"/>
      <c r="TYB1" s="186"/>
      <c r="TYC1" s="186"/>
      <c r="TYD1" s="186"/>
      <c r="TYE1" s="186"/>
      <c r="TYF1" s="186"/>
      <c r="TYG1" s="186"/>
      <c r="TYH1" s="186"/>
      <c r="TYI1" s="186"/>
      <c r="TYJ1" s="186"/>
      <c r="TYK1" s="186"/>
      <c r="TYL1" s="186"/>
      <c r="TYM1" s="186"/>
      <c r="TYN1" s="186"/>
      <c r="TYO1" s="186"/>
      <c r="TYP1" s="186"/>
      <c r="TYQ1" s="186"/>
      <c r="TYR1" s="186"/>
      <c r="TYS1" s="186"/>
      <c r="TYT1" s="186"/>
      <c r="TYU1" s="186"/>
      <c r="TYV1" s="186"/>
      <c r="TYW1" s="186"/>
      <c r="TYX1" s="186"/>
      <c r="TYY1" s="186"/>
      <c r="TYZ1" s="186"/>
      <c r="TZA1" s="186"/>
      <c r="TZB1" s="186"/>
      <c r="TZC1" s="186"/>
      <c r="TZD1" s="186"/>
      <c r="TZE1" s="186"/>
      <c r="TZF1" s="186"/>
      <c r="TZG1" s="186"/>
      <c r="TZH1" s="186"/>
      <c r="TZI1" s="186"/>
      <c r="TZJ1" s="186"/>
      <c r="TZK1" s="186"/>
      <c r="TZL1" s="186"/>
      <c r="TZM1" s="186"/>
      <c r="TZN1" s="186"/>
      <c r="TZO1" s="186"/>
      <c r="TZP1" s="186"/>
      <c r="TZQ1" s="186"/>
      <c r="TZR1" s="186"/>
      <c r="TZS1" s="186"/>
      <c r="TZT1" s="186"/>
      <c r="TZU1" s="186"/>
      <c r="TZV1" s="186"/>
      <c r="TZW1" s="186"/>
      <c r="TZX1" s="186"/>
      <c r="TZY1" s="186"/>
      <c r="TZZ1" s="186"/>
      <c r="UAA1" s="186"/>
      <c r="UAB1" s="186"/>
      <c r="UAC1" s="186"/>
      <c r="UAD1" s="186"/>
      <c r="UAE1" s="186"/>
      <c r="UAF1" s="186"/>
      <c r="UAG1" s="186"/>
      <c r="UAH1" s="186"/>
      <c r="UAI1" s="186"/>
      <c r="UAJ1" s="186"/>
      <c r="UAK1" s="186"/>
      <c r="UAL1" s="186"/>
      <c r="UAM1" s="186"/>
      <c r="UAN1" s="186"/>
      <c r="UAO1" s="186"/>
      <c r="UAP1" s="186"/>
      <c r="UAQ1" s="186"/>
      <c r="UAR1" s="186"/>
      <c r="UAS1" s="186"/>
      <c r="UAT1" s="186"/>
      <c r="UAU1" s="186"/>
      <c r="UAV1" s="186"/>
      <c r="UAW1" s="186"/>
      <c r="UAX1" s="186"/>
      <c r="UAY1" s="186"/>
      <c r="UAZ1" s="186"/>
      <c r="UBA1" s="186"/>
      <c r="UBB1" s="186"/>
      <c r="UBC1" s="186"/>
      <c r="UBD1" s="186"/>
      <c r="UBE1" s="186"/>
      <c r="UBF1" s="186"/>
      <c r="UBG1" s="186"/>
      <c r="UBH1" s="186"/>
      <c r="UBI1" s="186"/>
      <c r="UBJ1" s="186"/>
      <c r="UBK1" s="186"/>
      <c r="UBL1" s="186"/>
      <c r="UBM1" s="186"/>
      <c r="UBN1" s="186"/>
      <c r="UBO1" s="186"/>
      <c r="UBP1" s="186"/>
      <c r="UBQ1" s="186"/>
      <c r="UBR1" s="186"/>
      <c r="UBS1" s="186"/>
      <c r="UBT1" s="186"/>
      <c r="UBU1" s="186"/>
      <c r="UBV1" s="186"/>
      <c r="UBW1" s="186"/>
      <c r="UBX1" s="186"/>
      <c r="UBY1" s="186"/>
      <c r="UBZ1" s="186"/>
      <c r="UCA1" s="186"/>
      <c r="UCB1" s="186"/>
      <c r="UCC1" s="186"/>
      <c r="UCD1" s="186"/>
      <c r="UCE1" s="186"/>
      <c r="UCF1" s="186"/>
      <c r="UCG1" s="186"/>
      <c r="UCH1" s="186"/>
      <c r="UCI1" s="186"/>
      <c r="UCJ1" s="186"/>
      <c r="UCK1" s="186"/>
      <c r="UCL1" s="186"/>
      <c r="UCM1" s="186"/>
      <c r="UCN1" s="186"/>
      <c r="UCO1" s="186"/>
      <c r="UCP1" s="186"/>
      <c r="UCQ1" s="186"/>
      <c r="UCR1" s="186"/>
      <c r="UCS1" s="186"/>
      <c r="UCT1" s="186"/>
      <c r="UCU1" s="186"/>
      <c r="UCV1" s="186"/>
      <c r="UCW1" s="186"/>
      <c r="UCX1" s="186"/>
      <c r="UCY1" s="186"/>
      <c r="UCZ1" s="186"/>
      <c r="UDA1" s="186"/>
      <c r="UDB1" s="186"/>
      <c r="UDC1" s="186"/>
      <c r="UDD1" s="186"/>
      <c r="UDE1" s="186"/>
      <c r="UDF1" s="186"/>
      <c r="UDG1" s="186"/>
      <c r="UDH1" s="186"/>
      <c r="UDI1" s="186"/>
      <c r="UDJ1" s="186"/>
      <c r="UDK1" s="186"/>
      <c r="UDL1" s="186"/>
      <c r="UDM1" s="186"/>
      <c r="UDN1" s="186"/>
      <c r="UDO1" s="186"/>
      <c r="UDP1" s="186"/>
      <c r="UDQ1" s="186"/>
      <c r="UDR1" s="186"/>
      <c r="UDS1" s="186"/>
      <c r="UDT1" s="186"/>
      <c r="UDU1" s="186"/>
      <c r="UDV1" s="186"/>
      <c r="UDW1" s="186"/>
      <c r="UDX1" s="186"/>
      <c r="UDY1" s="186"/>
      <c r="UDZ1" s="186"/>
      <c r="UEA1" s="186"/>
      <c r="UEB1" s="186"/>
      <c r="UEC1" s="186"/>
      <c r="UED1" s="186"/>
      <c r="UEE1" s="186"/>
      <c r="UEF1" s="186"/>
      <c r="UEG1" s="186"/>
      <c r="UEH1" s="186"/>
      <c r="UEI1" s="186"/>
      <c r="UEJ1" s="186"/>
      <c r="UEK1" s="186"/>
      <c r="UEL1" s="186"/>
      <c r="UEM1" s="186"/>
      <c r="UEN1" s="186"/>
      <c r="UEO1" s="186"/>
      <c r="UEP1" s="186"/>
      <c r="UEQ1" s="186"/>
      <c r="UER1" s="186"/>
      <c r="UES1" s="186"/>
      <c r="UET1" s="186"/>
      <c r="UEU1" s="186"/>
      <c r="UEV1" s="186"/>
      <c r="UEW1" s="186"/>
      <c r="UEX1" s="186"/>
      <c r="UEY1" s="186"/>
      <c r="UEZ1" s="186"/>
      <c r="UFA1" s="186"/>
      <c r="UFB1" s="186"/>
      <c r="UFC1" s="186"/>
      <c r="UFD1" s="186"/>
      <c r="UFE1" s="186"/>
      <c r="UFF1" s="186"/>
      <c r="UFG1" s="186"/>
      <c r="UFH1" s="186"/>
      <c r="UFI1" s="186"/>
      <c r="UFJ1" s="186"/>
      <c r="UFK1" s="186"/>
      <c r="UFL1" s="186"/>
      <c r="UFM1" s="186"/>
      <c r="UFN1" s="186"/>
      <c r="UFO1" s="186"/>
      <c r="UFP1" s="186"/>
      <c r="UFQ1" s="186"/>
      <c r="UFR1" s="186"/>
      <c r="UFS1" s="186"/>
      <c r="UFT1" s="186"/>
      <c r="UFU1" s="186"/>
      <c r="UFV1" s="186"/>
      <c r="UFW1" s="186"/>
      <c r="UFX1" s="186"/>
      <c r="UFY1" s="186"/>
      <c r="UFZ1" s="186"/>
      <c r="UGA1" s="186"/>
      <c r="UGB1" s="186"/>
      <c r="UGC1" s="186"/>
      <c r="UGD1" s="186"/>
      <c r="UGE1" s="186"/>
      <c r="UGF1" s="186"/>
      <c r="UGG1" s="186"/>
      <c r="UGH1" s="186"/>
      <c r="UGI1" s="186"/>
      <c r="UGJ1" s="186"/>
      <c r="UGK1" s="186"/>
      <c r="UGL1" s="186"/>
      <c r="UGM1" s="186"/>
      <c r="UGN1" s="186"/>
      <c r="UGO1" s="186"/>
      <c r="UGP1" s="186"/>
      <c r="UGQ1" s="186"/>
      <c r="UGR1" s="186"/>
      <c r="UGS1" s="186"/>
      <c r="UGT1" s="186"/>
      <c r="UGU1" s="186"/>
      <c r="UGV1" s="186"/>
      <c r="UGW1" s="186"/>
      <c r="UGX1" s="186"/>
      <c r="UGY1" s="186"/>
      <c r="UGZ1" s="186"/>
      <c r="UHA1" s="186"/>
      <c r="UHB1" s="186"/>
      <c r="UHC1" s="186"/>
      <c r="UHD1" s="186"/>
      <c r="UHE1" s="186"/>
      <c r="UHF1" s="186"/>
      <c r="UHG1" s="186"/>
      <c r="UHH1" s="186"/>
      <c r="UHI1" s="186"/>
      <c r="UHJ1" s="186"/>
      <c r="UHK1" s="186"/>
      <c r="UHL1" s="186"/>
      <c r="UHM1" s="186"/>
      <c r="UHN1" s="186"/>
      <c r="UHO1" s="186"/>
      <c r="UHP1" s="186"/>
      <c r="UHQ1" s="186"/>
      <c r="UHR1" s="186"/>
      <c r="UHS1" s="186"/>
      <c r="UHT1" s="186"/>
      <c r="UHU1" s="186"/>
      <c r="UHV1" s="186"/>
      <c r="UHW1" s="186"/>
      <c r="UHX1" s="186"/>
      <c r="UHY1" s="186"/>
      <c r="UHZ1" s="186"/>
      <c r="UIA1" s="186"/>
      <c r="UIB1" s="186"/>
      <c r="UIC1" s="186"/>
      <c r="UID1" s="186"/>
      <c r="UIE1" s="186"/>
      <c r="UIF1" s="186"/>
      <c r="UIG1" s="186"/>
      <c r="UIH1" s="186"/>
      <c r="UII1" s="186"/>
      <c r="UIJ1" s="186"/>
      <c r="UIK1" s="186"/>
      <c r="UIL1" s="186"/>
      <c r="UIM1" s="186"/>
      <c r="UIN1" s="186"/>
      <c r="UIO1" s="186"/>
      <c r="UIP1" s="186"/>
      <c r="UIQ1" s="186"/>
      <c r="UIR1" s="186"/>
      <c r="UIS1" s="186"/>
      <c r="UIT1" s="186"/>
      <c r="UIU1" s="186"/>
      <c r="UIV1" s="186"/>
      <c r="UIW1" s="186"/>
      <c r="UIX1" s="186"/>
      <c r="UIY1" s="186"/>
      <c r="UIZ1" s="186"/>
      <c r="UJA1" s="186"/>
      <c r="UJB1" s="186"/>
      <c r="UJC1" s="186"/>
      <c r="UJD1" s="186"/>
      <c r="UJE1" s="186"/>
      <c r="UJF1" s="186"/>
      <c r="UJG1" s="186"/>
      <c r="UJH1" s="186"/>
      <c r="UJI1" s="186"/>
      <c r="UJJ1" s="186"/>
      <c r="UJK1" s="186"/>
      <c r="UJL1" s="186"/>
      <c r="UJM1" s="186"/>
      <c r="UJN1" s="186"/>
      <c r="UJO1" s="186"/>
      <c r="UJP1" s="186"/>
      <c r="UJQ1" s="186"/>
      <c r="UJR1" s="186"/>
      <c r="UJS1" s="186"/>
      <c r="UJT1" s="186"/>
      <c r="UJU1" s="186"/>
      <c r="UJV1" s="186"/>
      <c r="UJW1" s="186"/>
      <c r="UJX1" s="186"/>
      <c r="UJY1" s="186"/>
      <c r="UJZ1" s="186"/>
      <c r="UKA1" s="186"/>
      <c r="UKB1" s="186"/>
      <c r="UKC1" s="186"/>
      <c r="UKD1" s="186"/>
      <c r="UKE1" s="186"/>
      <c r="UKF1" s="186"/>
      <c r="UKG1" s="186"/>
      <c r="UKH1" s="186"/>
      <c r="UKI1" s="186"/>
      <c r="UKJ1" s="186"/>
      <c r="UKK1" s="186"/>
      <c r="UKL1" s="186"/>
      <c r="UKM1" s="186"/>
      <c r="UKN1" s="186"/>
      <c r="UKO1" s="186"/>
      <c r="UKP1" s="186"/>
      <c r="UKQ1" s="186"/>
      <c r="UKR1" s="186"/>
      <c r="UKS1" s="186"/>
      <c r="UKT1" s="186"/>
      <c r="UKU1" s="186"/>
      <c r="UKV1" s="186"/>
      <c r="UKW1" s="186"/>
      <c r="UKX1" s="186"/>
      <c r="UKY1" s="186"/>
      <c r="UKZ1" s="186"/>
      <c r="ULA1" s="186"/>
      <c r="ULB1" s="186"/>
      <c r="ULC1" s="186"/>
      <c r="ULD1" s="186"/>
      <c r="ULE1" s="186"/>
      <c r="ULF1" s="186"/>
      <c r="ULG1" s="186"/>
      <c r="ULH1" s="186"/>
      <c r="ULI1" s="186"/>
      <c r="ULJ1" s="186"/>
      <c r="ULK1" s="186"/>
      <c r="ULL1" s="186"/>
      <c r="ULM1" s="186"/>
      <c r="ULN1" s="186"/>
      <c r="ULO1" s="186"/>
      <c r="ULP1" s="186"/>
      <c r="ULQ1" s="186"/>
      <c r="ULR1" s="186"/>
      <c r="ULS1" s="186"/>
      <c r="ULT1" s="186"/>
      <c r="ULU1" s="186"/>
      <c r="ULV1" s="186"/>
      <c r="ULW1" s="186"/>
      <c r="ULX1" s="186"/>
      <c r="ULY1" s="186"/>
      <c r="ULZ1" s="186"/>
      <c r="UMA1" s="186"/>
      <c r="UMB1" s="186"/>
      <c r="UMC1" s="186"/>
      <c r="UMD1" s="186"/>
      <c r="UME1" s="186"/>
      <c r="UMF1" s="186"/>
      <c r="UMG1" s="186"/>
      <c r="UMH1" s="186"/>
      <c r="UMI1" s="186"/>
      <c r="UMJ1" s="186"/>
      <c r="UMK1" s="186"/>
      <c r="UML1" s="186"/>
      <c r="UMM1" s="186"/>
      <c r="UMN1" s="186"/>
      <c r="UMO1" s="186"/>
      <c r="UMP1" s="186"/>
      <c r="UMQ1" s="186"/>
      <c r="UMR1" s="186"/>
      <c r="UMS1" s="186"/>
      <c r="UMT1" s="186"/>
      <c r="UMU1" s="186"/>
      <c r="UMV1" s="186"/>
      <c r="UMW1" s="186"/>
      <c r="UMX1" s="186"/>
      <c r="UMY1" s="186"/>
      <c r="UMZ1" s="186"/>
      <c r="UNA1" s="186"/>
      <c r="UNB1" s="186"/>
      <c r="UNC1" s="186"/>
      <c r="UND1" s="186"/>
      <c r="UNE1" s="186"/>
      <c r="UNF1" s="186"/>
      <c r="UNG1" s="186"/>
      <c r="UNH1" s="186"/>
      <c r="UNI1" s="186"/>
      <c r="UNJ1" s="186"/>
      <c r="UNK1" s="186"/>
      <c r="UNL1" s="186"/>
      <c r="UNM1" s="186"/>
      <c r="UNN1" s="186"/>
      <c r="UNO1" s="186"/>
      <c r="UNP1" s="186"/>
      <c r="UNQ1" s="186"/>
      <c r="UNR1" s="186"/>
      <c r="UNS1" s="186"/>
      <c r="UNT1" s="186"/>
      <c r="UNU1" s="186"/>
      <c r="UNV1" s="186"/>
      <c r="UNW1" s="186"/>
      <c r="UNX1" s="186"/>
      <c r="UNY1" s="186"/>
      <c r="UNZ1" s="186"/>
      <c r="UOA1" s="186"/>
      <c r="UOB1" s="186"/>
      <c r="UOC1" s="186"/>
      <c r="UOD1" s="186"/>
      <c r="UOE1" s="186"/>
      <c r="UOF1" s="186"/>
      <c r="UOG1" s="186"/>
      <c r="UOH1" s="186"/>
      <c r="UOI1" s="186"/>
      <c r="UOJ1" s="186"/>
      <c r="UOK1" s="186"/>
      <c r="UOL1" s="186"/>
      <c r="UOM1" s="186"/>
      <c r="UON1" s="186"/>
      <c r="UOO1" s="186"/>
      <c r="UOP1" s="186"/>
      <c r="UOQ1" s="186"/>
      <c r="UOR1" s="186"/>
      <c r="UOS1" s="186"/>
      <c r="UOT1" s="186"/>
      <c r="UOU1" s="186"/>
      <c r="UOV1" s="186"/>
      <c r="UOW1" s="186"/>
      <c r="UOX1" s="186"/>
      <c r="UOY1" s="186"/>
      <c r="UOZ1" s="186"/>
      <c r="UPA1" s="186"/>
      <c r="UPB1" s="186"/>
      <c r="UPC1" s="186"/>
      <c r="UPD1" s="186"/>
      <c r="UPE1" s="186"/>
      <c r="UPF1" s="186"/>
      <c r="UPG1" s="186"/>
      <c r="UPH1" s="186"/>
      <c r="UPI1" s="186"/>
      <c r="UPJ1" s="186"/>
      <c r="UPK1" s="186"/>
      <c r="UPL1" s="186"/>
      <c r="UPM1" s="186"/>
      <c r="UPN1" s="186"/>
      <c r="UPO1" s="186"/>
      <c r="UPP1" s="186"/>
      <c r="UPQ1" s="186"/>
      <c r="UPR1" s="186"/>
      <c r="UPS1" s="186"/>
      <c r="UPT1" s="186"/>
      <c r="UPU1" s="186"/>
      <c r="UPV1" s="186"/>
      <c r="UPW1" s="186"/>
      <c r="UPX1" s="186"/>
      <c r="UPY1" s="186"/>
      <c r="UPZ1" s="186"/>
      <c r="UQA1" s="186"/>
      <c r="UQB1" s="186"/>
      <c r="UQC1" s="186"/>
      <c r="UQD1" s="186"/>
      <c r="UQE1" s="186"/>
      <c r="UQF1" s="186"/>
      <c r="UQG1" s="186"/>
      <c r="UQH1" s="186"/>
      <c r="UQI1" s="186"/>
      <c r="UQJ1" s="186"/>
      <c r="UQK1" s="186"/>
      <c r="UQL1" s="186"/>
      <c r="UQM1" s="186"/>
      <c r="UQN1" s="186"/>
      <c r="UQO1" s="186"/>
      <c r="UQP1" s="186"/>
      <c r="UQQ1" s="186"/>
      <c r="UQR1" s="186"/>
      <c r="UQS1" s="186"/>
      <c r="UQT1" s="186"/>
      <c r="UQU1" s="186"/>
      <c r="UQV1" s="186"/>
      <c r="UQW1" s="186"/>
      <c r="UQX1" s="186"/>
      <c r="UQY1" s="186"/>
      <c r="UQZ1" s="186"/>
      <c r="URA1" s="186"/>
      <c r="URB1" s="186"/>
      <c r="URC1" s="186"/>
      <c r="URD1" s="186"/>
      <c r="URE1" s="186"/>
      <c r="URF1" s="186"/>
      <c r="URG1" s="186"/>
      <c r="URH1" s="186"/>
      <c r="URI1" s="186"/>
      <c r="URJ1" s="186"/>
      <c r="URK1" s="186"/>
      <c r="URL1" s="186"/>
      <c r="URM1" s="186"/>
      <c r="URN1" s="186"/>
      <c r="URO1" s="186"/>
      <c r="URP1" s="186"/>
      <c r="URQ1" s="186"/>
      <c r="URR1" s="186"/>
      <c r="URS1" s="186"/>
      <c r="URT1" s="186"/>
      <c r="URU1" s="186"/>
      <c r="URV1" s="186"/>
      <c r="URW1" s="186"/>
      <c r="URX1" s="186"/>
      <c r="URY1" s="186"/>
      <c r="URZ1" s="186"/>
      <c r="USA1" s="186"/>
      <c r="USB1" s="186"/>
      <c r="USC1" s="186"/>
      <c r="USD1" s="186"/>
      <c r="USE1" s="186"/>
      <c r="USF1" s="186"/>
      <c r="USG1" s="186"/>
      <c r="USH1" s="186"/>
      <c r="USI1" s="186"/>
      <c r="USJ1" s="186"/>
      <c r="USK1" s="186"/>
      <c r="USL1" s="186"/>
      <c r="USM1" s="186"/>
      <c r="USN1" s="186"/>
      <c r="USO1" s="186"/>
      <c r="USP1" s="186"/>
      <c r="USQ1" s="186"/>
      <c r="USR1" s="186"/>
      <c r="USS1" s="186"/>
      <c r="UST1" s="186"/>
      <c r="USU1" s="186"/>
      <c r="USV1" s="186"/>
      <c r="USW1" s="186"/>
      <c r="USX1" s="186"/>
      <c r="USY1" s="186"/>
      <c r="USZ1" s="186"/>
      <c r="UTA1" s="186"/>
      <c r="UTB1" s="186"/>
      <c r="UTC1" s="186"/>
      <c r="UTD1" s="186"/>
      <c r="UTE1" s="186"/>
      <c r="UTF1" s="186"/>
      <c r="UTG1" s="186"/>
      <c r="UTH1" s="186"/>
      <c r="UTI1" s="186"/>
      <c r="UTJ1" s="186"/>
      <c r="UTK1" s="186"/>
      <c r="UTL1" s="186"/>
      <c r="UTM1" s="186"/>
      <c r="UTN1" s="186"/>
      <c r="UTO1" s="186"/>
      <c r="UTP1" s="186"/>
      <c r="UTQ1" s="186"/>
      <c r="UTR1" s="186"/>
      <c r="UTS1" s="186"/>
      <c r="UTT1" s="186"/>
      <c r="UTU1" s="186"/>
      <c r="UTV1" s="186"/>
      <c r="UTW1" s="186"/>
      <c r="UTX1" s="186"/>
      <c r="UTY1" s="186"/>
      <c r="UTZ1" s="186"/>
      <c r="UUA1" s="186"/>
      <c r="UUB1" s="186"/>
      <c r="UUC1" s="186"/>
      <c r="UUD1" s="186"/>
      <c r="UUE1" s="186"/>
      <c r="UUF1" s="186"/>
      <c r="UUG1" s="186"/>
      <c r="UUH1" s="186"/>
      <c r="UUI1" s="186"/>
      <c r="UUJ1" s="186"/>
      <c r="UUK1" s="186"/>
      <c r="UUL1" s="186"/>
      <c r="UUM1" s="186"/>
      <c r="UUN1" s="186"/>
      <c r="UUO1" s="186"/>
      <c r="UUP1" s="186"/>
      <c r="UUQ1" s="186"/>
      <c r="UUR1" s="186"/>
      <c r="UUS1" s="186"/>
      <c r="UUT1" s="186"/>
      <c r="UUU1" s="186"/>
      <c r="UUV1" s="186"/>
      <c r="UUW1" s="186"/>
      <c r="UUX1" s="186"/>
      <c r="UUY1" s="186"/>
      <c r="UUZ1" s="186"/>
      <c r="UVA1" s="186"/>
      <c r="UVB1" s="186"/>
      <c r="UVC1" s="186"/>
      <c r="UVD1" s="186"/>
      <c r="UVE1" s="186"/>
      <c r="UVF1" s="186"/>
      <c r="UVG1" s="186"/>
      <c r="UVH1" s="186"/>
      <c r="UVI1" s="186"/>
      <c r="UVJ1" s="186"/>
      <c r="UVK1" s="186"/>
      <c r="UVL1" s="186"/>
      <c r="UVM1" s="186"/>
      <c r="UVN1" s="186"/>
      <c r="UVO1" s="186"/>
      <c r="UVP1" s="186"/>
      <c r="UVQ1" s="186"/>
      <c r="UVR1" s="186"/>
      <c r="UVS1" s="186"/>
      <c r="UVT1" s="186"/>
      <c r="UVU1" s="186"/>
      <c r="UVV1" s="186"/>
      <c r="UVW1" s="186"/>
      <c r="UVX1" s="186"/>
      <c r="UVY1" s="186"/>
      <c r="UVZ1" s="186"/>
      <c r="UWA1" s="186"/>
      <c r="UWB1" s="186"/>
      <c r="UWC1" s="186"/>
      <c r="UWD1" s="186"/>
      <c r="UWE1" s="186"/>
      <c r="UWF1" s="186"/>
      <c r="UWG1" s="186"/>
      <c r="UWH1" s="186"/>
      <c r="UWI1" s="186"/>
      <c r="UWJ1" s="186"/>
      <c r="UWK1" s="186"/>
      <c r="UWL1" s="186"/>
      <c r="UWM1" s="186"/>
      <c r="UWN1" s="186"/>
      <c r="UWO1" s="186"/>
      <c r="UWP1" s="186"/>
      <c r="UWQ1" s="186"/>
      <c r="UWR1" s="186"/>
      <c r="UWS1" s="186"/>
      <c r="UWT1" s="186"/>
      <c r="UWU1" s="186"/>
      <c r="UWV1" s="186"/>
      <c r="UWW1" s="186"/>
      <c r="UWX1" s="186"/>
      <c r="UWY1" s="186"/>
      <c r="UWZ1" s="186"/>
      <c r="UXA1" s="186"/>
      <c r="UXB1" s="186"/>
      <c r="UXC1" s="186"/>
      <c r="UXD1" s="186"/>
      <c r="UXE1" s="186"/>
      <c r="UXF1" s="186"/>
      <c r="UXG1" s="186"/>
      <c r="UXH1" s="186"/>
      <c r="UXI1" s="186"/>
      <c r="UXJ1" s="186"/>
      <c r="UXK1" s="186"/>
      <c r="UXL1" s="186"/>
      <c r="UXM1" s="186"/>
      <c r="UXN1" s="186"/>
      <c r="UXO1" s="186"/>
      <c r="UXP1" s="186"/>
      <c r="UXQ1" s="186"/>
      <c r="UXR1" s="186"/>
      <c r="UXS1" s="186"/>
      <c r="UXT1" s="186"/>
      <c r="UXU1" s="186"/>
      <c r="UXV1" s="186"/>
      <c r="UXW1" s="186"/>
      <c r="UXX1" s="186"/>
      <c r="UXY1" s="186"/>
      <c r="UXZ1" s="186"/>
      <c r="UYA1" s="186"/>
      <c r="UYB1" s="186"/>
      <c r="UYC1" s="186"/>
      <c r="UYD1" s="186"/>
      <c r="UYE1" s="186"/>
      <c r="UYF1" s="186"/>
      <c r="UYG1" s="186"/>
      <c r="UYH1" s="186"/>
      <c r="UYI1" s="186"/>
      <c r="UYJ1" s="186"/>
      <c r="UYK1" s="186"/>
      <c r="UYL1" s="186"/>
      <c r="UYM1" s="186"/>
      <c r="UYN1" s="186"/>
      <c r="UYO1" s="186"/>
      <c r="UYP1" s="186"/>
      <c r="UYQ1" s="186"/>
      <c r="UYR1" s="186"/>
      <c r="UYS1" s="186"/>
      <c r="UYT1" s="186"/>
      <c r="UYU1" s="186"/>
      <c r="UYV1" s="186"/>
      <c r="UYW1" s="186"/>
      <c r="UYX1" s="186"/>
      <c r="UYY1" s="186"/>
      <c r="UYZ1" s="186"/>
      <c r="UZA1" s="186"/>
      <c r="UZB1" s="186"/>
      <c r="UZC1" s="186"/>
      <c r="UZD1" s="186"/>
      <c r="UZE1" s="186"/>
      <c r="UZF1" s="186"/>
      <c r="UZG1" s="186"/>
      <c r="UZH1" s="186"/>
      <c r="UZI1" s="186"/>
      <c r="UZJ1" s="186"/>
      <c r="UZK1" s="186"/>
      <c r="UZL1" s="186"/>
      <c r="UZM1" s="186"/>
      <c r="UZN1" s="186"/>
      <c r="UZO1" s="186"/>
      <c r="UZP1" s="186"/>
      <c r="UZQ1" s="186"/>
      <c r="UZR1" s="186"/>
      <c r="UZS1" s="186"/>
      <c r="UZT1" s="186"/>
      <c r="UZU1" s="186"/>
      <c r="UZV1" s="186"/>
      <c r="UZW1" s="186"/>
      <c r="UZX1" s="186"/>
      <c r="UZY1" s="186"/>
      <c r="UZZ1" s="186"/>
      <c r="VAA1" s="186"/>
      <c r="VAB1" s="186"/>
      <c r="VAC1" s="186"/>
      <c r="VAD1" s="186"/>
      <c r="VAE1" s="186"/>
      <c r="VAF1" s="186"/>
      <c r="VAG1" s="186"/>
      <c r="VAH1" s="186"/>
      <c r="VAI1" s="186"/>
      <c r="VAJ1" s="186"/>
      <c r="VAK1" s="186"/>
      <c r="VAL1" s="186"/>
      <c r="VAM1" s="186"/>
      <c r="VAN1" s="186"/>
      <c r="VAO1" s="186"/>
      <c r="VAP1" s="186"/>
      <c r="VAQ1" s="186"/>
      <c r="VAR1" s="186"/>
      <c r="VAS1" s="186"/>
      <c r="VAT1" s="186"/>
      <c r="VAU1" s="186"/>
      <c r="VAV1" s="186"/>
      <c r="VAW1" s="186"/>
      <c r="VAX1" s="186"/>
      <c r="VAY1" s="186"/>
      <c r="VAZ1" s="186"/>
      <c r="VBA1" s="186"/>
      <c r="VBB1" s="186"/>
      <c r="VBC1" s="186"/>
      <c r="VBD1" s="186"/>
      <c r="VBE1" s="186"/>
      <c r="VBF1" s="186"/>
      <c r="VBG1" s="186"/>
      <c r="VBH1" s="186"/>
      <c r="VBI1" s="186"/>
      <c r="VBJ1" s="186"/>
      <c r="VBK1" s="186"/>
      <c r="VBL1" s="186"/>
      <c r="VBM1" s="186"/>
      <c r="VBN1" s="186"/>
      <c r="VBO1" s="186"/>
      <c r="VBP1" s="186"/>
      <c r="VBQ1" s="186"/>
      <c r="VBR1" s="186"/>
      <c r="VBS1" s="186"/>
      <c r="VBT1" s="186"/>
      <c r="VBU1" s="186"/>
      <c r="VBV1" s="186"/>
      <c r="VBW1" s="186"/>
      <c r="VBX1" s="186"/>
      <c r="VBY1" s="186"/>
      <c r="VBZ1" s="186"/>
      <c r="VCA1" s="186"/>
      <c r="VCB1" s="186"/>
      <c r="VCC1" s="186"/>
      <c r="VCD1" s="186"/>
      <c r="VCE1" s="186"/>
      <c r="VCF1" s="186"/>
      <c r="VCG1" s="186"/>
      <c r="VCH1" s="186"/>
      <c r="VCI1" s="186"/>
      <c r="VCJ1" s="186"/>
      <c r="VCK1" s="186"/>
      <c r="VCL1" s="186"/>
      <c r="VCM1" s="186"/>
      <c r="VCN1" s="186"/>
      <c r="VCO1" s="186"/>
      <c r="VCP1" s="186"/>
      <c r="VCQ1" s="186"/>
      <c r="VCR1" s="186"/>
      <c r="VCS1" s="186"/>
      <c r="VCT1" s="186"/>
      <c r="VCU1" s="186"/>
      <c r="VCV1" s="186"/>
      <c r="VCW1" s="186"/>
      <c r="VCX1" s="186"/>
      <c r="VCY1" s="186"/>
      <c r="VCZ1" s="186"/>
      <c r="VDA1" s="186"/>
      <c r="VDB1" s="186"/>
      <c r="VDC1" s="186"/>
      <c r="VDD1" s="186"/>
      <c r="VDE1" s="186"/>
      <c r="VDF1" s="186"/>
      <c r="VDG1" s="186"/>
      <c r="VDH1" s="186"/>
      <c r="VDI1" s="186"/>
      <c r="VDJ1" s="186"/>
      <c r="VDK1" s="186"/>
      <c r="VDL1" s="186"/>
      <c r="VDM1" s="186"/>
      <c r="VDN1" s="186"/>
      <c r="VDO1" s="186"/>
      <c r="VDP1" s="186"/>
      <c r="VDQ1" s="186"/>
      <c r="VDR1" s="186"/>
      <c r="VDS1" s="186"/>
      <c r="VDT1" s="186"/>
      <c r="VDU1" s="186"/>
      <c r="VDV1" s="186"/>
      <c r="VDW1" s="186"/>
      <c r="VDX1" s="186"/>
      <c r="VDY1" s="186"/>
      <c r="VDZ1" s="186"/>
      <c r="VEA1" s="186"/>
      <c r="VEB1" s="186"/>
      <c r="VEC1" s="186"/>
      <c r="VED1" s="186"/>
      <c r="VEE1" s="186"/>
      <c r="VEF1" s="186"/>
      <c r="VEG1" s="186"/>
      <c r="VEH1" s="186"/>
      <c r="VEI1" s="186"/>
      <c r="VEJ1" s="186"/>
      <c r="VEK1" s="186"/>
      <c r="VEL1" s="186"/>
      <c r="VEM1" s="186"/>
      <c r="VEN1" s="186"/>
      <c r="VEO1" s="186"/>
      <c r="VEP1" s="186"/>
      <c r="VEQ1" s="186"/>
      <c r="VER1" s="186"/>
      <c r="VES1" s="186"/>
      <c r="VET1" s="186"/>
      <c r="VEU1" s="186"/>
      <c r="VEV1" s="186"/>
      <c r="VEW1" s="186"/>
      <c r="VEX1" s="186"/>
      <c r="VEY1" s="186"/>
      <c r="VEZ1" s="186"/>
      <c r="VFA1" s="186"/>
      <c r="VFB1" s="186"/>
      <c r="VFC1" s="186"/>
      <c r="VFD1" s="186"/>
      <c r="VFE1" s="186"/>
      <c r="VFF1" s="186"/>
      <c r="VFG1" s="186"/>
      <c r="VFH1" s="186"/>
      <c r="VFI1" s="186"/>
      <c r="VFJ1" s="186"/>
      <c r="VFK1" s="186"/>
      <c r="VFL1" s="186"/>
      <c r="VFM1" s="186"/>
      <c r="VFN1" s="186"/>
      <c r="VFO1" s="186"/>
      <c r="VFP1" s="186"/>
      <c r="VFQ1" s="186"/>
      <c r="VFR1" s="186"/>
      <c r="VFS1" s="186"/>
      <c r="VFT1" s="186"/>
      <c r="VFU1" s="186"/>
      <c r="VFV1" s="186"/>
      <c r="VFW1" s="186"/>
      <c r="VFX1" s="186"/>
      <c r="VFY1" s="186"/>
      <c r="VFZ1" s="186"/>
      <c r="VGA1" s="186"/>
      <c r="VGB1" s="186"/>
      <c r="VGC1" s="186"/>
      <c r="VGD1" s="186"/>
      <c r="VGE1" s="186"/>
      <c r="VGF1" s="186"/>
      <c r="VGG1" s="186"/>
      <c r="VGH1" s="186"/>
      <c r="VGI1" s="186"/>
      <c r="VGJ1" s="186"/>
      <c r="VGK1" s="186"/>
      <c r="VGL1" s="186"/>
      <c r="VGM1" s="186"/>
      <c r="VGN1" s="186"/>
      <c r="VGO1" s="186"/>
      <c r="VGP1" s="186"/>
      <c r="VGQ1" s="186"/>
      <c r="VGR1" s="186"/>
      <c r="VGS1" s="186"/>
      <c r="VGT1" s="186"/>
      <c r="VGU1" s="186"/>
      <c r="VGV1" s="186"/>
      <c r="VGW1" s="186"/>
      <c r="VGX1" s="186"/>
      <c r="VGY1" s="186"/>
      <c r="VGZ1" s="186"/>
      <c r="VHA1" s="186"/>
      <c r="VHB1" s="186"/>
      <c r="VHC1" s="186"/>
      <c r="VHD1" s="186"/>
      <c r="VHE1" s="186"/>
      <c r="VHF1" s="186"/>
      <c r="VHG1" s="186"/>
      <c r="VHH1" s="186"/>
      <c r="VHI1" s="186"/>
      <c r="VHJ1" s="186"/>
      <c r="VHK1" s="186"/>
      <c r="VHL1" s="186"/>
      <c r="VHM1" s="186"/>
      <c r="VHN1" s="186"/>
      <c r="VHO1" s="186"/>
      <c r="VHP1" s="186"/>
      <c r="VHQ1" s="186"/>
      <c r="VHR1" s="186"/>
      <c r="VHS1" s="186"/>
      <c r="VHT1" s="186"/>
      <c r="VHU1" s="186"/>
      <c r="VHV1" s="186"/>
      <c r="VHW1" s="186"/>
      <c r="VHX1" s="186"/>
      <c r="VHY1" s="186"/>
      <c r="VHZ1" s="186"/>
      <c r="VIA1" s="186"/>
      <c r="VIB1" s="186"/>
      <c r="VIC1" s="186"/>
      <c r="VID1" s="186"/>
      <c r="VIE1" s="186"/>
      <c r="VIF1" s="186"/>
      <c r="VIG1" s="186"/>
      <c r="VIH1" s="186"/>
      <c r="VII1" s="186"/>
      <c r="VIJ1" s="186"/>
      <c r="VIK1" s="186"/>
      <c r="VIL1" s="186"/>
      <c r="VIM1" s="186"/>
      <c r="VIN1" s="186"/>
      <c r="VIO1" s="186"/>
      <c r="VIP1" s="186"/>
      <c r="VIQ1" s="186"/>
      <c r="VIR1" s="186"/>
      <c r="VIS1" s="186"/>
      <c r="VIT1" s="186"/>
      <c r="VIU1" s="186"/>
      <c r="VIV1" s="186"/>
      <c r="VIW1" s="186"/>
      <c r="VIX1" s="186"/>
      <c r="VIY1" s="186"/>
      <c r="VIZ1" s="186"/>
      <c r="VJA1" s="186"/>
      <c r="VJB1" s="186"/>
      <c r="VJC1" s="186"/>
      <c r="VJD1" s="186"/>
      <c r="VJE1" s="186"/>
      <c r="VJF1" s="186"/>
      <c r="VJG1" s="186"/>
      <c r="VJH1" s="186"/>
      <c r="VJI1" s="186"/>
      <c r="VJJ1" s="186"/>
      <c r="VJK1" s="186"/>
      <c r="VJL1" s="186"/>
      <c r="VJM1" s="186"/>
      <c r="VJN1" s="186"/>
      <c r="VJO1" s="186"/>
      <c r="VJP1" s="186"/>
      <c r="VJQ1" s="186"/>
      <c r="VJR1" s="186"/>
      <c r="VJS1" s="186"/>
      <c r="VJT1" s="186"/>
      <c r="VJU1" s="186"/>
      <c r="VJV1" s="186"/>
      <c r="VJW1" s="186"/>
      <c r="VJX1" s="186"/>
      <c r="VJY1" s="186"/>
      <c r="VJZ1" s="186"/>
      <c r="VKA1" s="186"/>
      <c r="VKB1" s="186"/>
      <c r="VKC1" s="186"/>
      <c r="VKD1" s="186"/>
      <c r="VKE1" s="186"/>
      <c r="VKF1" s="186"/>
      <c r="VKG1" s="186"/>
      <c r="VKH1" s="186"/>
      <c r="VKI1" s="186"/>
      <c r="VKJ1" s="186"/>
      <c r="VKK1" s="186"/>
      <c r="VKL1" s="186"/>
      <c r="VKM1" s="186"/>
      <c r="VKN1" s="186"/>
      <c r="VKO1" s="186"/>
      <c r="VKP1" s="186"/>
      <c r="VKQ1" s="186"/>
      <c r="VKR1" s="186"/>
      <c r="VKS1" s="186"/>
      <c r="VKT1" s="186"/>
      <c r="VKU1" s="186"/>
      <c r="VKV1" s="186"/>
      <c r="VKW1" s="186"/>
      <c r="VKX1" s="186"/>
      <c r="VKY1" s="186"/>
      <c r="VKZ1" s="186"/>
      <c r="VLA1" s="186"/>
      <c r="VLB1" s="186"/>
      <c r="VLC1" s="186"/>
      <c r="VLD1" s="186"/>
      <c r="VLE1" s="186"/>
      <c r="VLF1" s="186"/>
      <c r="VLG1" s="186"/>
      <c r="VLH1" s="186"/>
      <c r="VLI1" s="186"/>
      <c r="VLJ1" s="186"/>
      <c r="VLK1" s="186"/>
      <c r="VLL1" s="186"/>
      <c r="VLM1" s="186"/>
      <c r="VLN1" s="186"/>
      <c r="VLO1" s="186"/>
      <c r="VLP1" s="186"/>
      <c r="VLQ1" s="186"/>
      <c r="VLR1" s="186"/>
      <c r="VLS1" s="186"/>
      <c r="VLT1" s="186"/>
      <c r="VLU1" s="186"/>
      <c r="VLV1" s="186"/>
      <c r="VLW1" s="186"/>
      <c r="VLX1" s="186"/>
      <c r="VLY1" s="186"/>
      <c r="VLZ1" s="186"/>
      <c r="VMA1" s="186"/>
      <c r="VMB1" s="186"/>
      <c r="VMC1" s="186"/>
      <c r="VMD1" s="186"/>
      <c r="VME1" s="186"/>
      <c r="VMF1" s="186"/>
      <c r="VMG1" s="186"/>
      <c r="VMH1" s="186"/>
      <c r="VMI1" s="186"/>
      <c r="VMJ1" s="186"/>
      <c r="VMK1" s="186"/>
      <c r="VML1" s="186"/>
      <c r="VMM1" s="186"/>
      <c r="VMN1" s="186"/>
      <c r="VMO1" s="186"/>
      <c r="VMP1" s="186"/>
      <c r="VMQ1" s="186"/>
      <c r="VMR1" s="186"/>
      <c r="VMS1" s="186"/>
      <c r="VMT1" s="186"/>
      <c r="VMU1" s="186"/>
      <c r="VMV1" s="186"/>
      <c r="VMW1" s="186"/>
      <c r="VMX1" s="186"/>
      <c r="VMY1" s="186"/>
      <c r="VMZ1" s="186"/>
      <c r="VNA1" s="186"/>
      <c r="VNB1" s="186"/>
      <c r="VNC1" s="186"/>
      <c r="VND1" s="186"/>
      <c r="VNE1" s="186"/>
      <c r="VNF1" s="186"/>
      <c r="VNG1" s="186"/>
      <c r="VNH1" s="186"/>
      <c r="VNI1" s="186"/>
      <c r="VNJ1" s="186"/>
      <c r="VNK1" s="186"/>
      <c r="VNL1" s="186"/>
      <c r="VNM1" s="186"/>
      <c r="VNN1" s="186"/>
      <c r="VNO1" s="186"/>
      <c r="VNP1" s="186"/>
      <c r="VNQ1" s="186"/>
      <c r="VNR1" s="186"/>
      <c r="VNS1" s="186"/>
      <c r="VNT1" s="186"/>
      <c r="VNU1" s="186"/>
      <c r="VNV1" s="186"/>
      <c r="VNW1" s="186"/>
      <c r="VNX1" s="186"/>
      <c r="VNY1" s="186"/>
      <c r="VNZ1" s="186"/>
      <c r="VOA1" s="186"/>
      <c r="VOB1" s="186"/>
      <c r="VOC1" s="186"/>
      <c r="VOD1" s="186"/>
      <c r="VOE1" s="186"/>
      <c r="VOF1" s="186"/>
      <c r="VOG1" s="186"/>
      <c r="VOH1" s="186"/>
      <c r="VOI1" s="186"/>
      <c r="VOJ1" s="186"/>
      <c r="VOK1" s="186"/>
      <c r="VOL1" s="186"/>
      <c r="VOM1" s="186"/>
      <c r="VON1" s="186"/>
      <c r="VOO1" s="186"/>
      <c r="VOP1" s="186"/>
      <c r="VOQ1" s="186"/>
      <c r="VOR1" s="186"/>
      <c r="VOS1" s="186"/>
      <c r="VOT1" s="186"/>
      <c r="VOU1" s="186"/>
      <c r="VOV1" s="186"/>
      <c r="VOW1" s="186"/>
      <c r="VOX1" s="186"/>
      <c r="VOY1" s="186"/>
      <c r="VOZ1" s="186"/>
      <c r="VPA1" s="186"/>
      <c r="VPB1" s="186"/>
      <c r="VPC1" s="186"/>
      <c r="VPD1" s="186"/>
      <c r="VPE1" s="186"/>
      <c r="VPF1" s="186"/>
      <c r="VPG1" s="186"/>
      <c r="VPH1" s="186"/>
      <c r="VPI1" s="186"/>
      <c r="VPJ1" s="186"/>
      <c r="VPK1" s="186"/>
      <c r="VPL1" s="186"/>
      <c r="VPM1" s="186"/>
      <c r="VPN1" s="186"/>
      <c r="VPO1" s="186"/>
      <c r="VPP1" s="186"/>
      <c r="VPQ1" s="186"/>
      <c r="VPR1" s="186"/>
      <c r="VPS1" s="186"/>
      <c r="VPT1" s="186"/>
      <c r="VPU1" s="186"/>
      <c r="VPV1" s="186"/>
      <c r="VPW1" s="186"/>
      <c r="VPX1" s="186"/>
      <c r="VPY1" s="186"/>
      <c r="VPZ1" s="186"/>
      <c r="VQA1" s="186"/>
      <c r="VQB1" s="186"/>
      <c r="VQC1" s="186"/>
      <c r="VQD1" s="186"/>
      <c r="VQE1" s="186"/>
      <c r="VQF1" s="186"/>
      <c r="VQG1" s="186"/>
      <c r="VQH1" s="186"/>
      <c r="VQI1" s="186"/>
      <c r="VQJ1" s="186"/>
      <c r="VQK1" s="186"/>
      <c r="VQL1" s="186"/>
      <c r="VQM1" s="186"/>
      <c r="VQN1" s="186"/>
      <c r="VQO1" s="186"/>
      <c r="VQP1" s="186"/>
      <c r="VQQ1" s="186"/>
      <c r="VQR1" s="186"/>
      <c r="VQS1" s="186"/>
      <c r="VQT1" s="186"/>
      <c r="VQU1" s="186"/>
      <c r="VQV1" s="186"/>
      <c r="VQW1" s="186"/>
      <c r="VQX1" s="186"/>
      <c r="VQY1" s="186"/>
      <c r="VQZ1" s="186"/>
      <c r="VRA1" s="186"/>
      <c r="VRB1" s="186"/>
      <c r="VRC1" s="186"/>
      <c r="VRD1" s="186"/>
      <c r="VRE1" s="186"/>
      <c r="VRF1" s="186"/>
      <c r="VRG1" s="186"/>
      <c r="VRH1" s="186"/>
      <c r="VRI1" s="186"/>
      <c r="VRJ1" s="186"/>
      <c r="VRK1" s="186"/>
      <c r="VRL1" s="186"/>
      <c r="VRM1" s="186"/>
      <c r="VRN1" s="186"/>
      <c r="VRO1" s="186"/>
      <c r="VRP1" s="186"/>
      <c r="VRQ1" s="186"/>
      <c r="VRR1" s="186"/>
      <c r="VRS1" s="186"/>
      <c r="VRT1" s="186"/>
      <c r="VRU1" s="186"/>
      <c r="VRV1" s="186"/>
      <c r="VRW1" s="186"/>
      <c r="VRX1" s="186"/>
      <c r="VRY1" s="186"/>
      <c r="VRZ1" s="186"/>
      <c r="VSA1" s="186"/>
      <c r="VSB1" s="186"/>
      <c r="VSC1" s="186"/>
      <c r="VSD1" s="186"/>
      <c r="VSE1" s="186"/>
      <c r="VSF1" s="186"/>
      <c r="VSG1" s="186"/>
      <c r="VSH1" s="186"/>
      <c r="VSI1" s="186"/>
      <c r="VSJ1" s="186"/>
      <c r="VSK1" s="186"/>
      <c r="VSL1" s="186"/>
      <c r="VSM1" s="186"/>
      <c r="VSN1" s="186"/>
      <c r="VSO1" s="186"/>
      <c r="VSP1" s="186"/>
      <c r="VSQ1" s="186"/>
      <c r="VSR1" s="186"/>
      <c r="VSS1" s="186"/>
      <c r="VST1" s="186"/>
      <c r="VSU1" s="186"/>
      <c r="VSV1" s="186"/>
      <c r="VSW1" s="186"/>
      <c r="VSX1" s="186"/>
      <c r="VSY1" s="186"/>
      <c r="VSZ1" s="186"/>
      <c r="VTA1" s="186"/>
      <c r="VTB1" s="186"/>
      <c r="VTC1" s="186"/>
      <c r="VTD1" s="186"/>
      <c r="VTE1" s="186"/>
      <c r="VTF1" s="186"/>
      <c r="VTG1" s="186"/>
      <c r="VTH1" s="186"/>
      <c r="VTI1" s="186"/>
      <c r="VTJ1" s="186"/>
      <c r="VTK1" s="186"/>
      <c r="VTL1" s="186"/>
      <c r="VTM1" s="186"/>
      <c r="VTN1" s="186"/>
      <c r="VTO1" s="186"/>
      <c r="VTP1" s="186"/>
      <c r="VTQ1" s="186"/>
      <c r="VTR1" s="186"/>
      <c r="VTS1" s="186"/>
      <c r="VTT1" s="186"/>
      <c r="VTU1" s="186"/>
      <c r="VTV1" s="186"/>
      <c r="VTW1" s="186"/>
      <c r="VTX1" s="186"/>
      <c r="VTY1" s="186"/>
      <c r="VTZ1" s="186"/>
      <c r="VUA1" s="186"/>
      <c r="VUB1" s="186"/>
      <c r="VUC1" s="186"/>
      <c r="VUD1" s="186"/>
      <c r="VUE1" s="186"/>
      <c r="VUF1" s="186"/>
      <c r="VUG1" s="186"/>
      <c r="VUH1" s="186"/>
      <c r="VUI1" s="186"/>
      <c r="VUJ1" s="186"/>
      <c r="VUK1" s="186"/>
      <c r="VUL1" s="186"/>
      <c r="VUM1" s="186"/>
      <c r="VUN1" s="186"/>
      <c r="VUO1" s="186"/>
      <c r="VUP1" s="186"/>
      <c r="VUQ1" s="186"/>
      <c r="VUR1" s="186"/>
      <c r="VUS1" s="186"/>
      <c r="VUT1" s="186"/>
      <c r="VUU1" s="186"/>
      <c r="VUV1" s="186"/>
      <c r="VUW1" s="186"/>
      <c r="VUX1" s="186"/>
      <c r="VUY1" s="186"/>
      <c r="VUZ1" s="186"/>
      <c r="VVA1" s="186"/>
      <c r="VVB1" s="186"/>
      <c r="VVC1" s="186"/>
      <c r="VVD1" s="186"/>
      <c r="VVE1" s="186"/>
      <c r="VVF1" s="186"/>
      <c r="VVG1" s="186"/>
      <c r="VVH1" s="186"/>
      <c r="VVI1" s="186"/>
      <c r="VVJ1" s="186"/>
      <c r="VVK1" s="186"/>
      <c r="VVL1" s="186"/>
      <c r="VVM1" s="186"/>
      <c r="VVN1" s="186"/>
      <c r="VVO1" s="186"/>
      <c r="VVP1" s="186"/>
      <c r="VVQ1" s="186"/>
      <c r="VVR1" s="186"/>
      <c r="VVS1" s="186"/>
      <c r="VVT1" s="186"/>
      <c r="VVU1" s="186"/>
      <c r="VVV1" s="186"/>
      <c r="VVW1" s="186"/>
      <c r="VVX1" s="186"/>
      <c r="VVY1" s="186"/>
      <c r="VVZ1" s="186"/>
      <c r="VWA1" s="186"/>
      <c r="VWB1" s="186"/>
      <c r="VWC1" s="186"/>
      <c r="VWD1" s="186"/>
      <c r="VWE1" s="186"/>
      <c r="VWF1" s="186"/>
      <c r="VWG1" s="186"/>
      <c r="VWH1" s="186"/>
      <c r="VWI1" s="186"/>
      <c r="VWJ1" s="186"/>
      <c r="VWK1" s="186"/>
      <c r="VWL1" s="186"/>
      <c r="VWM1" s="186"/>
      <c r="VWN1" s="186"/>
      <c r="VWO1" s="186"/>
      <c r="VWP1" s="186"/>
      <c r="VWQ1" s="186"/>
      <c r="VWR1" s="186"/>
      <c r="VWS1" s="186"/>
      <c r="VWT1" s="186"/>
      <c r="VWU1" s="186"/>
      <c r="VWV1" s="186"/>
      <c r="VWW1" s="186"/>
      <c r="VWX1" s="186"/>
      <c r="VWY1" s="186"/>
      <c r="VWZ1" s="186"/>
      <c r="VXA1" s="186"/>
      <c r="VXB1" s="186"/>
      <c r="VXC1" s="186"/>
      <c r="VXD1" s="186"/>
      <c r="VXE1" s="186"/>
      <c r="VXF1" s="186"/>
      <c r="VXG1" s="186"/>
      <c r="VXH1" s="186"/>
      <c r="VXI1" s="186"/>
      <c r="VXJ1" s="186"/>
      <c r="VXK1" s="186"/>
      <c r="VXL1" s="186"/>
      <c r="VXM1" s="186"/>
      <c r="VXN1" s="186"/>
      <c r="VXO1" s="186"/>
      <c r="VXP1" s="186"/>
      <c r="VXQ1" s="186"/>
      <c r="VXR1" s="186"/>
      <c r="VXS1" s="186"/>
      <c r="VXT1" s="186"/>
      <c r="VXU1" s="186"/>
      <c r="VXV1" s="186"/>
      <c r="VXW1" s="186"/>
      <c r="VXX1" s="186"/>
      <c r="VXY1" s="186"/>
      <c r="VXZ1" s="186"/>
      <c r="VYA1" s="186"/>
      <c r="VYB1" s="186"/>
      <c r="VYC1" s="186"/>
      <c r="VYD1" s="186"/>
      <c r="VYE1" s="186"/>
      <c r="VYF1" s="186"/>
      <c r="VYG1" s="186"/>
      <c r="VYH1" s="186"/>
      <c r="VYI1" s="186"/>
      <c r="VYJ1" s="186"/>
      <c r="VYK1" s="186"/>
      <c r="VYL1" s="186"/>
      <c r="VYM1" s="186"/>
      <c r="VYN1" s="186"/>
      <c r="VYO1" s="186"/>
      <c r="VYP1" s="186"/>
      <c r="VYQ1" s="186"/>
      <c r="VYR1" s="186"/>
      <c r="VYS1" s="186"/>
      <c r="VYT1" s="186"/>
      <c r="VYU1" s="186"/>
      <c r="VYV1" s="186"/>
      <c r="VYW1" s="186"/>
      <c r="VYX1" s="186"/>
      <c r="VYY1" s="186"/>
      <c r="VYZ1" s="186"/>
      <c r="VZA1" s="186"/>
      <c r="VZB1" s="186"/>
      <c r="VZC1" s="186"/>
      <c r="VZD1" s="186"/>
      <c r="VZE1" s="186"/>
      <c r="VZF1" s="186"/>
      <c r="VZG1" s="186"/>
      <c r="VZH1" s="186"/>
      <c r="VZI1" s="186"/>
      <c r="VZJ1" s="186"/>
      <c r="VZK1" s="186"/>
      <c r="VZL1" s="186"/>
      <c r="VZM1" s="186"/>
      <c r="VZN1" s="186"/>
      <c r="VZO1" s="186"/>
      <c r="VZP1" s="186"/>
      <c r="VZQ1" s="186"/>
      <c r="VZR1" s="186"/>
      <c r="VZS1" s="186"/>
      <c r="VZT1" s="186"/>
      <c r="VZU1" s="186"/>
      <c r="VZV1" s="186"/>
      <c r="VZW1" s="186"/>
      <c r="VZX1" s="186"/>
      <c r="VZY1" s="186"/>
      <c r="VZZ1" s="186"/>
      <c r="WAA1" s="186"/>
      <c r="WAB1" s="186"/>
      <c r="WAC1" s="186"/>
      <c r="WAD1" s="186"/>
      <c r="WAE1" s="186"/>
      <c r="WAF1" s="186"/>
      <c r="WAG1" s="186"/>
      <c r="WAH1" s="186"/>
      <c r="WAI1" s="186"/>
      <c r="WAJ1" s="186"/>
      <c r="WAK1" s="186"/>
      <c r="WAL1" s="186"/>
      <c r="WAM1" s="186"/>
      <c r="WAN1" s="186"/>
      <c r="WAO1" s="186"/>
      <c r="WAP1" s="186"/>
      <c r="WAQ1" s="186"/>
      <c r="WAR1" s="186"/>
      <c r="WAS1" s="186"/>
      <c r="WAT1" s="186"/>
      <c r="WAU1" s="186"/>
      <c r="WAV1" s="186"/>
      <c r="WAW1" s="186"/>
      <c r="WAX1" s="186"/>
      <c r="WAY1" s="186"/>
      <c r="WAZ1" s="186"/>
      <c r="WBA1" s="186"/>
      <c r="WBB1" s="186"/>
      <c r="WBC1" s="186"/>
      <c r="WBD1" s="186"/>
      <c r="WBE1" s="186"/>
      <c r="WBF1" s="186"/>
      <c r="WBG1" s="186"/>
      <c r="WBH1" s="186"/>
      <c r="WBI1" s="186"/>
      <c r="WBJ1" s="186"/>
      <c r="WBK1" s="186"/>
      <c r="WBL1" s="186"/>
      <c r="WBM1" s="186"/>
      <c r="WBN1" s="186"/>
      <c r="WBO1" s="186"/>
      <c r="WBP1" s="186"/>
      <c r="WBQ1" s="186"/>
      <c r="WBR1" s="186"/>
      <c r="WBS1" s="186"/>
      <c r="WBT1" s="186"/>
      <c r="WBU1" s="186"/>
      <c r="WBV1" s="186"/>
      <c r="WBW1" s="186"/>
      <c r="WBX1" s="186"/>
      <c r="WBY1" s="186"/>
      <c r="WBZ1" s="186"/>
      <c r="WCA1" s="186"/>
      <c r="WCB1" s="186"/>
      <c r="WCC1" s="186"/>
      <c r="WCD1" s="186"/>
      <c r="WCE1" s="186"/>
      <c r="WCF1" s="186"/>
      <c r="WCG1" s="186"/>
      <c r="WCH1" s="186"/>
      <c r="WCI1" s="186"/>
      <c r="WCJ1" s="186"/>
      <c r="WCK1" s="186"/>
      <c r="WCL1" s="186"/>
      <c r="WCM1" s="186"/>
      <c r="WCN1" s="186"/>
      <c r="WCO1" s="186"/>
      <c r="WCP1" s="186"/>
      <c r="WCQ1" s="186"/>
      <c r="WCR1" s="186"/>
      <c r="WCS1" s="186"/>
      <c r="WCT1" s="186"/>
      <c r="WCU1" s="186"/>
      <c r="WCV1" s="186"/>
      <c r="WCW1" s="186"/>
      <c r="WCX1" s="186"/>
      <c r="WCY1" s="186"/>
      <c r="WCZ1" s="186"/>
      <c r="WDA1" s="186"/>
      <c r="WDB1" s="186"/>
      <c r="WDC1" s="186"/>
      <c r="WDD1" s="186"/>
      <c r="WDE1" s="186"/>
      <c r="WDF1" s="186"/>
      <c r="WDG1" s="186"/>
      <c r="WDH1" s="186"/>
      <c r="WDI1" s="186"/>
      <c r="WDJ1" s="186"/>
      <c r="WDK1" s="186"/>
      <c r="WDL1" s="186"/>
      <c r="WDM1" s="186"/>
      <c r="WDN1" s="186"/>
      <c r="WDO1" s="186"/>
      <c r="WDP1" s="186"/>
      <c r="WDQ1" s="186"/>
      <c r="WDR1" s="186"/>
      <c r="WDS1" s="186"/>
      <c r="WDT1" s="186"/>
      <c r="WDU1" s="186"/>
      <c r="WDV1" s="186"/>
      <c r="WDW1" s="186"/>
      <c r="WDX1" s="186"/>
      <c r="WDY1" s="186"/>
      <c r="WDZ1" s="186"/>
      <c r="WEA1" s="186"/>
      <c r="WEB1" s="186"/>
      <c r="WEC1" s="186"/>
      <c r="WED1" s="186"/>
      <c r="WEE1" s="186"/>
      <c r="WEF1" s="186"/>
      <c r="WEG1" s="186"/>
      <c r="WEH1" s="186"/>
      <c r="WEI1" s="186"/>
      <c r="WEJ1" s="186"/>
      <c r="WEK1" s="186"/>
      <c r="WEL1" s="186"/>
      <c r="WEM1" s="186"/>
      <c r="WEN1" s="186"/>
      <c r="WEO1" s="186"/>
      <c r="WEP1" s="186"/>
      <c r="WEQ1" s="186"/>
      <c r="WER1" s="186"/>
      <c r="WES1" s="186"/>
      <c r="WET1" s="186"/>
      <c r="WEU1" s="186"/>
      <c r="WEV1" s="186"/>
      <c r="WEW1" s="186"/>
      <c r="WEX1" s="186"/>
      <c r="WEY1" s="186"/>
      <c r="WEZ1" s="186"/>
      <c r="WFA1" s="186"/>
      <c r="WFB1" s="186"/>
      <c r="WFC1" s="186"/>
      <c r="WFD1" s="186"/>
      <c r="WFE1" s="186"/>
      <c r="WFF1" s="186"/>
      <c r="WFG1" s="186"/>
      <c r="WFH1" s="186"/>
      <c r="WFI1" s="186"/>
      <c r="WFJ1" s="186"/>
      <c r="WFK1" s="186"/>
      <c r="WFL1" s="186"/>
      <c r="WFM1" s="186"/>
      <c r="WFN1" s="186"/>
      <c r="WFO1" s="186"/>
      <c r="WFP1" s="186"/>
      <c r="WFQ1" s="186"/>
      <c r="WFR1" s="186"/>
      <c r="WFS1" s="186"/>
      <c r="WFT1" s="186"/>
      <c r="WFU1" s="186"/>
      <c r="WFV1" s="186"/>
      <c r="WFW1" s="186"/>
      <c r="WFX1" s="186"/>
      <c r="WFY1" s="186"/>
      <c r="WFZ1" s="186"/>
      <c r="WGA1" s="186"/>
      <c r="WGB1" s="186"/>
      <c r="WGC1" s="186"/>
      <c r="WGD1" s="186"/>
      <c r="WGE1" s="186"/>
      <c r="WGF1" s="186"/>
      <c r="WGG1" s="186"/>
      <c r="WGH1" s="186"/>
      <c r="WGI1" s="186"/>
      <c r="WGJ1" s="186"/>
      <c r="WGK1" s="186"/>
      <c r="WGL1" s="186"/>
      <c r="WGM1" s="186"/>
      <c r="WGN1" s="186"/>
      <c r="WGO1" s="186"/>
      <c r="WGP1" s="186"/>
      <c r="WGQ1" s="186"/>
      <c r="WGR1" s="186"/>
      <c r="WGS1" s="186"/>
      <c r="WGT1" s="186"/>
      <c r="WGU1" s="186"/>
      <c r="WGV1" s="186"/>
      <c r="WGW1" s="186"/>
      <c r="WGX1" s="186"/>
      <c r="WGY1" s="186"/>
      <c r="WGZ1" s="186"/>
      <c r="WHA1" s="186"/>
      <c r="WHB1" s="186"/>
      <c r="WHC1" s="186"/>
      <c r="WHD1" s="186"/>
      <c r="WHE1" s="186"/>
      <c r="WHF1" s="186"/>
      <c r="WHG1" s="186"/>
      <c r="WHH1" s="186"/>
      <c r="WHI1" s="186"/>
      <c r="WHJ1" s="186"/>
      <c r="WHK1" s="186"/>
      <c r="WHL1" s="186"/>
      <c r="WHM1" s="186"/>
      <c r="WHN1" s="186"/>
      <c r="WHO1" s="186"/>
      <c r="WHP1" s="186"/>
      <c r="WHQ1" s="186"/>
      <c r="WHR1" s="186"/>
      <c r="WHS1" s="186"/>
      <c r="WHT1" s="186"/>
      <c r="WHU1" s="186"/>
      <c r="WHV1" s="186"/>
      <c r="WHW1" s="186"/>
      <c r="WHX1" s="186"/>
      <c r="WHY1" s="186"/>
      <c r="WHZ1" s="186"/>
      <c r="WIA1" s="186"/>
      <c r="WIB1" s="186"/>
      <c r="WIC1" s="186"/>
      <c r="WID1" s="186"/>
      <c r="WIE1" s="186"/>
      <c r="WIF1" s="186"/>
      <c r="WIG1" s="186"/>
      <c r="WIH1" s="186"/>
      <c r="WII1" s="186"/>
      <c r="WIJ1" s="186"/>
      <c r="WIK1" s="186"/>
      <c r="WIL1" s="186"/>
      <c r="WIM1" s="186"/>
      <c r="WIN1" s="186"/>
      <c r="WIO1" s="186"/>
      <c r="WIP1" s="186"/>
      <c r="WIQ1" s="186"/>
      <c r="WIR1" s="186"/>
      <c r="WIS1" s="186"/>
      <c r="WIT1" s="186"/>
      <c r="WIU1" s="186"/>
      <c r="WIV1" s="186"/>
      <c r="WIW1" s="186"/>
      <c r="WIX1" s="186"/>
      <c r="WIY1" s="186"/>
      <c r="WIZ1" s="186"/>
      <c r="WJA1" s="186"/>
      <c r="WJB1" s="186"/>
      <c r="WJC1" s="186"/>
      <c r="WJD1" s="186"/>
      <c r="WJE1" s="186"/>
      <c r="WJF1" s="186"/>
      <c r="WJG1" s="186"/>
      <c r="WJH1" s="186"/>
      <c r="WJI1" s="186"/>
      <c r="WJJ1" s="186"/>
      <c r="WJK1" s="186"/>
      <c r="WJL1" s="186"/>
      <c r="WJM1" s="186"/>
      <c r="WJN1" s="186"/>
      <c r="WJO1" s="186"/>
      <c r="WJP1" s="186"/>
      <c r="WJQ1" s="186"/>
      <c r="WJR1" s="186"/>
      <c r="WJS1" s="186"/>
      <c r="WJT1" s="186"/>
      <c r="WJU1" s="186"/>
      <c r="WJV1" s="186"/>
      <c r="WJW1" s="186"/>
      <c r="WJX1" s="186"/>
      <c r="WJY1" s="186"/>
      <c r="WJZ1" s="186"/>
      <c r="WKA1" s="186"/>
      <c r="WKB1" s="186"/>
      <c r="WKC1" s="186"/>
      <c r="WKD1" s="186"/>
      <c r="WKE1" s="186"/>
      <c r="WKF1" s="186"/>
      <c r="WKG1" s="186"/>
      <c r="WKH1" s="186"/>
      <c r="WKI1" s="186"/>
      <c r="WKJ1" s="186"/>
      <c r="WKK1" s="186"/>
      <c r="WKL1" s="186"/>
      <c r="WKM1" s="186"/>
      <c r="WKN1" s="186"/>
      <c r="WKO1" s="186"/>
      <c r="WKP1" s="186"/>
      <c r="WKQ1" s="186"/>
      <c r="WKR1" s="186"/>
      <c r="WKS1" s="186"/>
      <c r="WKT1" s="186"/>
      <c r="WKU1" s="186"/>
      <c r="WKV1" s="186"/>
      <c r="WKW1" s="186"/>
      <c r="WKX1" s="186"/>
      <c r="WKY1" s="186"/>
      <c r="WKZ1" s="186"/>
      <c r="WLA1" s="186"/>
      <c r="WLB1" s="186"/>
      <c r="WLC1" s="186"/>
      <c r="WLD1" s="186"/>
      <c r="WLE1" s="186"/>
      <c r="WLF1" s="186"/>
      <c r="WLG1" s="186"/>
      <c r="WLH1" s="186"/>
      <c r="WLI1" s="186"/>
      <c r="WLJ1" s="186"/>
      <c r="WLK1" s="186"/>
      <c r="WLL1" s="186"/>
      <c r="WLM1" s="186"/>
      <c r="WLN1" s="186"/>
      <c r="WLO1" s="186"/>
      <c r="WLP1" s="186"/>
      <c r="WLQ1" s="186"/>
      <c r="WLR1" s="186"/>
      <c r="WLS1" s="186"/>
      <c r="WLT1" s="186"/>
      <c r="WLU1" s="186"/>
      <c r="WLV1" s="186"/>
      <c r="WLW1" s="186"/>
      <c r="WLX1" s="186"/>
      <c r="WLY1" s="186"/>
      <c r="WLZ1" s="186"/>
      <c r="WMA1" s="186"/>
      <c r="WMB1" s="186"/>
      <c r="WMC1" s="186"/>
      <c r="WMD1" s="186"/>
      <c r="WME1" s="186"/>
      <c r="WMF1" s="186"/>
      <c r="WMG1" s="186"/>
      <c r="WMH1" s="186"/>
      <c r="WMI1" s="186"/>
      <c r="WMJ1" s="186"/>
      <c r="WMK1" s="186"/>
      <c r="WML1" s="186"/>
      <c r="WMM1" s="186"/>
      <c r="WMN1" s="186"/>
      <c r="WMO1" s="186"/>
      <c r="WMP1" s="186"/>
      <c r="WMQ1" s="186"/>
      <c r="WMR1" s="186"/>
      <c r="WMS1" s="186"/>
      <c r="WMT1" s="186"/>
      <c r="WMU1" s="186"/>
      <c r="WMV1" s="186"/>
      <c r="WMW1" s="186"/>
      <c r="WMX1" s="186"/>
      <c r="WMY1" s="186"/>
      <c r="WMZ1" s="186"/>
      <c r="WNA1" s="186"/>
      <c r="WNB1" s="186"/>
      <c r="WNC1" s="186"/>
      <c r="WND1" s="186"/>
      <c r="WNE1" s="186"/>
      <c r="WNF1" s="186"/>
      <c r="WNG1" s="186"/>
      <c r="WNH1" s="186"/>
      <c r="WNI1" s="186"/>
      <c r="WNJ1" s="186"/>
      <c r="WNK1" s="186"/>
      <c r="WNL1" s="186"/>
      <c r="WNM1" s="186"/>
      <c r="WNN1" s="186"/>
      <c r="WNO1" s="186"/>
      <c r="WNP1" s="186"/>
      <c r="WNQ1" s="186"/>
      <c r="WNR1" s="186"/>
      <c r="WNS1" s="186"/>
      <c r="WNT1" s="186"/>
      <c r="WNU1" s="186"/>
      <c r="WNV1" s="186"/>
      <c r="WNW1" s="186"/>
      <c r="WNX1" s="186"/>
      <c r="WNY1" s="186"/>
      <c r="WNZ1" s="186"/>
      <c r="WOA1" s="186"/>
      <c r="WOB1" s="186"/>
      <c r="WOC1" s="186"/>
      <c r="WOD1" s="186"/>
      <c r="WOE1" s="186"/>
      <c r="WOF1" s="186"/>
      <c r="WOG1" s="186"/>
      <c r="WOH1" s="186"/>
      <c r="WOI1" s="186"/>
      <c r="WOJ1" s="186"/>
      <c r="WOK1" s="186"/>
      <c r="WOL1" s="186"/>
      <c r="WOM1" s="186"/>
      <c r="WON1" s="186"/>
      <c r="WOO1" s="186"/>
      <c r="WOP1" s="186"/>
      <c r="WOQ1" s="186"/>
      <c r="WOR1" s="186"/>
      <c r="WOS1" s="186"/>
      <c r="WOT1" s="186"/>
      <c r="WOU1" s="186"/>
      <c r="WOV1" s="186"/>
      <c r="WOW1" s="186"/>
      <c r="WOX1" s="186"/>
      <c r="WOY1" s="186"/>
      <c r="WOZ1" s="186"/>
      <c r="WPA1" s="186"/>
      <c r="WPB1" s="186"/>
      <c r="WPC1" s="186"/>
      <c r="WPD1" s="186"/>
      <c r="WPE1" s="186"/>
      <c r="WPF1" s="186"/>
      <c r="WPG1" s="186"/>
      <c r="WPH1" s="186"/>
      <c r="WPI1" s="186"/>
      <c r="WPJ1" s="186"/>
      <c r="WPK1" s="186"/>
      <c r="WPL1" s="186"/>
      <c r="WPM1" s="186"/>
      <c r="WPN1" s="186"/>
      <c r="WPO1" s="186"/>
      <c r="WPP1" s="186"/>
      <c r="WPQ1" s="186"/>
      <c r="WPR1" s="186"/>
      <c r="WPS1" s="186"/>
      <c r="WPT1" s="186"/>
      <c r="WPU1" s="186"/>
      <c r="WPV1" s="186"/>
      <c r="WPW1" s="186"/>
      <c r="WPX1" s="186"/>
      <c r="WPY1" s="186"/>
      <c r="WPZ1" s="186"/>
      <c r="WQA1" s="186"/>
      <c r="WQB1" s="186"/>
      <c r="WQC1" s="186"/>
      <c r="WQD1" s="186"/>
      <c r="WQE1" s="186"/>
      <c r="WQF1" s="186"/>
      <c r="WQG1" s="186"/>
      <c r="WQH1" s="186"/>
      <c r="WQI1" s="186"/>
      <c r="WQJ1" s="186"/>
      <c r="WQK1" s="186"/>
      <c r="WQL1" s="186"/>
      <c r="WQM1" s="186"/>
      <c r="WQN1" s="186"/>
      <c r="WQO1" s="186"/>
      <c r="WQP1" s="186"/>
      <c r="WQQ1" s="186"/>
      <c r="WQR1" s="186"/>
      <c r="WQS1" s="186"/>
      <c r="WQT1" s="186"/>
      <c r="WQU1" s="186"/>
      <c r="WQV1" s="186"/>
      <c r="WQW1" s="186"/>
      <c r="WQX1" s="186"/>
      <c r="WQY1" s="186"/>
      <c r="WQZ1" s="186"/>
      <c r="WRA1" s="186"/>
      <c r="WRB1" s="186"/>
      <c r="WRC1" s="186"/>
      <c r="WRD1" s="186"/>
      <c r="WRE1" s="186"/>
      <c r="WRF1" s="186"/>
      <c r="WRG1" s="186"/>
      <c r="WRH1" s="186"/>
      <c r="WRI1" s="186"/>
      <c r="WRJ1" s="186"/>
      <c r="WRK1" s="186"/>
      <c r="WRL1" s="186"/>
      <c r="WRM1" s="186"/>
      <c r="WRN1" s="186"/>
      <c r="WRO1" s="186"/>
      <c r="WRP1" s="186"/>
      <c r="WRQ1" s="186"/>
      <c r="WRR1" s="186"/>
      <c r="WRS1" s="186"/>
      <c r="WRT1" s="186"/>
      <c r="WRU1" s="186"/>
      <c r="WRV1" s="186"/>
      <c r="WRW1" s="186"/>
      <c r="WRX1" s="186"/>
      <c r="WRY1" s="186"/>
      <c r="WRZ1" s="186"/>
      <c r="WSA1" s="186"/>
      <c r="WSB1" s="186"/>
      <c r="WSC1" s="186"/>
      <c r="WSD1" s="186"/>
      <c r="WSE1" s="186"/>
      <c r="WSF1" s="186"/>
      <c r="WSG1" s="186"/>
      <c r="WSH1" s="186"/>
      <c r="WSI1" s="186"/>
      <c r="WSJ1" s="186"/>
      <c r="WSK1" s="186"/>
      <c r="WSL1" s="186"/>
      <c r="WSM1" s="186"/>
      <c r="WSN1" s="186"/>
      <c r="WSO1" s="186"/>
      <c r="WSP1" s="186"/>
      <c r="WSQ1" s="186"/>
      <c r="WSR1" s="186"/>
      <c r="WSS1" s="186"/>
      <c r="WST1" s="186"/>
      <c r="WSU1" s="186"/>
      <c r="WSV1" s="186"/>
      <c r="WSW1" s="186"/>
      <c r="WSX1" s="186"/>
      <c r="WSY1" s="186"/>
      <c r="WSZ1" s="186"/>
      <c r="WTA1" s="186"/>
      <c r="WTB1" s="186"/>
      <c r="WTC1" s="186"/>
      <c r="WTD1" s="186"/>
      <c r="WTE1" s="186"/>
      <c r="WTF1" s="186"/>
      <c r="WTG1" s="186"/>
      <c r="WTH1" s="186"/>
      <c r="WTI1" s="186"/>
      <c r="WTJ1" s="186"/>
      <c r="WTK1" s="186"/>
      <c r="WTL1" s="186"/>
      <c r="WTM1" s="186"/>
      <c r="WTN1" s="186"/>
      <c r="WTO1" s="186"/>
      <c r="WTP1" s="186"/>
      <c r="WTQ1" s="186"/>
      <c r="WTR1" s="186"/>
      <c r="WTS1" s="186"/>
      <c r="WTT1" s="186"/>
      <c r="WTU1" s="186"/>
      <c r="WTV1" s="186"/>
      <c r="WTW1" s="186"/>
      <c r="WTX1" s="186"/>
      <c r="WTY1" s="186"/>
      <c r="WTZ1" s="186"/>
      <c r="WUA1" s="186"/>
      <c r="WUB1" s="186"/>
      <c r="WUC1" s="186"/>
      <c r="WUD1" s="186"/>
      <c r="WUE1" s="186"/>
      <c r="WUF1" s="186"/>
      <c r="WUG1" s="186"/>
      <c r="WUH1" s="186"/>
      <c r="WUI1" s="186"/>
      <c r="WUJ1" s="186"/>
      <c r="WUK1" s="186"/>
      <c r="WUL1" s="186"/>
      <c r="WUM1" s="186"/>
      <c r="WUN1" s="186"/>
      <c r="WUO1" s="186"/>
      <c r="WUP1" s="186"/>
      <c r="WUQ1" s="186"/>
      <c r="WUR1" s="186"/>
      <c r="WUS1" s="186"/>
      <c r="WUT1" s="186"/>
      <c r="WUU1" s="186"/>
      <c r="WUV1" s="186"/>
      <c r="WUW1" s="186"/>
      <c r="WUX1" s="186"/>
      <c r="WUY1" s="186"/>
      <c r="WUZ1" s="186"/>
      <c r="WVA1" s="186"/>
      <c r="WVB1" s="186"/>
      <c r="WVC1" s="186"/>
      <c r="WVD1" s="186"/>
      <c r="WVE1" s="186"/>
      <c r="WVF1" s="186"/>
      <c r="WVG1" s="186"/>
      <c r="WVH1" s="186"/>
      <c r="WVI1" s="186"/>
      <c r="WVJ1" s="186"/>
      <c r="WVK1" s="186"/>
      <c r="WVL1" s="186"/>
      <c r="WVM1" s="186"/>
      <c r="WVN1" s="186"/>
      <c r="WVO1" s="186"/>
      <c r="WVP1" s="186"/>
      <c r="WVQ1" s="186"/>
      <c r="WVR1" s="186"/>
      <c r="WVS1" s="186"/>
      <c r="WVT1" s="186"/>
      <c r="WVU1" s="186"/>
      <c r="WVV1" s="186"/>
      <c r="WVW1" s="186"/>
      <c r="WVX1" s="186"/>
      <c r="WVY1" s="186"/>
      <c r="WVZ1" s="186"/>
      <c r="WWA1" s="186"/>
      <c r="WWB1" s="186"/>
      <c r="WWC1" s="186"/>
      <c r="WWD1" s="186"/>
      <c r="WWE1" s="186"/>
      <c r="WWF1" s="186"/>
      <c r="WWG1" s="186"/>
      <c r="WWH1" s="186"/>
      <c r="WWI1" s="186"/>
      <c r="WWJ1" s="186"/>
      <c r="WWK1" s="186"/>
      <c r="WWL1" s="186"/>
      <c r="WWM1" s="186"/>
      <c r="WWN1" s="186"/>
      <c r="WWO1" s="186"/>
      <c r="WWP1" s="186"/>
      <c r="WWQ1" s="186"/>
      <c r="WWR1" s="186"/>
      <c r="WWS1" s="186"/>
      <c r="WWT1" s="186"/>
      <c r="WWU1" s="186"/>
      <c r="WWV1" s="186"/>
      <c r="WWW1" s="186"/>
      <c r="WWX1" s="186"/>
      <c r="WWY1" s="186"/>
      <c r="WWZ1" s="186"/>
      <c r="WXA1" s="186"/>
      <c r="WXB1" s="186"/>
      <c r="WXC1" s="186"/>
      <c r="WXD1" s="186"/>
      <c r="WXE1" s="186"/>
      <c r="WXF1" s="186"/>
      <c r="WXG1" s="186"/>
      <c r="WXH1" s="186"/>
      <c r="WXI1" s="186"/>
      <c r="WXJ1" s="186"/>
      <c r="WXK1" s="186"/>
      <c r="WXL1" s="186"/>
      <c r="WXM1" s="186"/>
      <c r="WXN1" s="186"/>
      <c r="WXO1" s="186"/>
      <c r="WXP1" s="186"/>
      <c r="WXQ1" s="186"/>
      <c r="WXR1" s="186"/>
      <c r="WXS1" s="186"/>
      <c r="WXT1" s="186"/>
      <c r="WXU1" s="186"/>
      <c r="WXV1" s="186"/>
      <c r="WXW1" s="186"/>
      <c r="WXX1" s="186"/>
      <c r="WXY1" s="186"/>
      <c r="WXZ1" s="186"/>
      <c r="WYA1" s="186"/>
      <c r="WYB1" s="186"/>
      <c r="WYC1" s="186"/>
      <c r="WYD1" s="186"/>
      <c r="WYE1" s="186"/>
      <c r="WYF1" s="186"/>
      <c r="WYG1" s="186"/>
      <c r="WYH1" s="186"/>
      <c r="WYI1" s="186"/>
      <c r="WYJ1" s="186"/>
      <c r="WYK1" s="186"/>
      <c r="WYL1" s="186"/>
      <c r="WYM1" s="186"/>
      <c r="WYN1" s="186"/>
      <c r="WYO1" s="186"/>
      <c r="WYP1" s="186"/>
      <c r="WYQ1" s="186"/>
      <c r="WYR1" s="186"/>
      <c r="WYS1" s="186"/>
      <c r="WYT1" s="186"/>
      <c r="WYU1" s="186"/>
      <c r="WYV1" s="186"/>
      <c r="WYW1" s="186"/>
      <c r="WYX1" s="186"/>
      <c r="WYY1" s="186"/>
      <c r="WYZ1" s="186"/>
      <c r="WZA1" s="186"/>
      <c r="WZB1" s="186"/>
      <c r="WZC1" s="186"/>
      <c r="WZD1" s="186"/>
      <c r="WZE1" s="186"/>
      <c r="WZF1" s="186"/>
      <c r="WZG1" s="186"/>
      <c r="WZH1" s="186"/>
      <c r="WZI1" s="186"/>
      <c r="WZJ1" s="186"/>
      <c r="WZK1" s="186"/>
      <c r="WZL1" s="186"/>
      <c r="WZM1" s="186"/>
      <c r="WZN1" s="186"/>
      <c r="WZO1" s="186"/>
      <c r="WZP1" s="186"/>
      <c r="WZQ1" s="186"/>
      <c r="WZR1" s="186"/>
      <c r="WZS1" s="186"/>
      <c r="WZT1" s="186"/>
      <c r="WZU1" s="186"/>
      <c r="WZV1" s="186"/>
      <c r="WZW1" s="186"/>
      <c r="WZX1" s="186"/>
      <c r="WZY1" s="186"/>
      <c r="WZZ1" s="186"/>
      <c r="XAA1" s="186"/>
      <c r="XAB1" s="186"/>
      <c r="XAC1" s="186"/>
      <c r="XAD1" s="186"/>
      <c r="XAE1" s="186"/>
      <c r="XAF1" s="186"/>
      <c r="XAG1" s="186"/>
      <c r="XAH1" s="186"/>
      <c r="XAI1" s="186"/>
      <c r="XAJ1" s="186"/>
      <c r="XAK1" s="186"/>
      <c r="XAL1" s="186"/>
      <c r="XAM1" s="186"/>
      <c r="XAN1" s="186"/>
      <c r="XAO1" s="186"/>
      <c r="XAP1" s="186"/>
      <c r="XAQ1" s="186"/>
      <c r="XAR1" s="186"/>
      <c r="XAS1" s="186"/>
      <c r="XAT1" s="186"/>
      <c r="XAU1" s="186"/>
      <c r="XAV1" s="186"/>
      <c r="XAW1" s="186"/>
      <c r="XAX1" s="186"/>
      <c r="XAY1" s="186"/>
      <c r="XAZ1" s="186"/>
      <c r="XBA1" s="186"/>
      <c r="XBB1" s="186"/>
      <c r="XBC1" s="186"/>
      <c r="XBD1" s="186"/>
      <c r="XBE1" s="186"/>
      <c r="XBF1" s="186"/>
      <c r="XBG1" s="186"/>
      <c r="XBH1" s="186"/>
      <c r="XBI1" s="186"/>
      <c r="XBJ1" s="186"/>
      <c r="XBK1" s="186"/>
      <c r="XBL1" s="186"/>
      <c r="XBM1" s="186"/>
      <c r="XBN1" s="186"/>
      <c r="XBO1" s="186"/>
      <c r="XBP1" s="186"/>
      <c r="XBQ1" s="186"/>
      <c r="XBR1" s="186"/>
      <c r="XBS1" s="186"/>
      <c r="XBT1" s="186"/>
      <c r="XBU1" s="186"/>
      <c r="XBV1" s="186"/>
      <c r="XBW1" s="186"/>
      <c r="XBX1" s="186"/>
      <c r="XBY1" s="186"/>
      <c r="XBZ1" s="186"/>
      <c r="XCA1" s="186"/>
      <c r="XCB1" s="186"/>
      <c r="XCC1" s="186"/>
      <c r="XCD1" s="186"/>
      <c r="XCE1" s="186"/>
      <c r="XCF1" s="186"/>
      <c r="XCG1" s="186"/>
      <c r="XCH1" s="186"/>
      <c r="XCI1" s="186"/>
      <c r="XCJ1" s="186"/>
      <c r="XCK1" s="186"/>
      <c r="XCL1" s="186"/>
      <c r="XCM1" s="186"/>
      <c r="XCN1" s="186"/>
      <c r="XCO1" s="186"/>
      <c r="XCP1" s="186"/>
      <c r="XCQ1" s="186"/>
      <c r="XCR1" s="186"/>
      <c r="XCS1" s="186"/>
      <c r="XCT1" s="186"/>
      <c r="XCU1" s="186"/>
      <c r="XCV1" s="186"/>
      <c r="XCW1" s="186"/>
      <c r="XCX1" s="186"/>
      <c r="XCY1" s="186"/>
      <c r="XCZ1" s="186"/>
      <c r="XDA1" s="186"/>
      <c r="XDB1" s="186"/>
      <c r="XDC1" s="186"/>
      <c r="XDD1" s="186"/>
      <c r="XDE1" s="186"/>
      <c r="XDF1" s="186"/>
      <c r="XDG1" s="186"/>
      <c r="XDH1" s="186"/>
      <c r="XDI1" s="186"/>
      <c r="XDJ1" s="186"/>
      <c r="XDK1" s="186"/>
      <c r="XDL1" s="186"/>
      <c r="XDM1" s="186"/>
      <c r="XDN1" s="186"/>
      <c r="XDO1" s="186"/>
      <c r="XDP1" s="186"/>
      <c r="XDQ1" s="186"/>
      <c r="XDR1" s="186"/>
      <c r="XDS1" s="186"/>
      <c r="XDT1" s="186"/>
      <c r="XDU1" s="186"/>
      <c r="XDV1" s="186"/>
      <c r="XDW1" s="186"/>
      <c r="XDX1" s="186"/>
      <c r="XDY1" s="186"/>
      <c r="XDZ1" s="186"/>
      <c r="XEA1" s="186"/>
      <c r="XEB1" s="186"/>
      <c r="XEC1" s="186"/>
      <c r="XED1" s="186"/>
      <c r="XEE1" s="186"/>
      <c r="XEF1" s="186"/>
      <c r="XEG1" s="186"/>
      <c r="XEH1" s="186"/>
      <c r="XEI1" s="186"/>
      <c r="XEJ1" s="186"/>
      <c r="XEK1" s="186"/>
      <c r="XEL1" s="186"/>
      <c r="XEM1" s="186"/>
      <c r="XEN1" s="186"/>
      <c r="XEO1" s="186"/>
      <c r="XEP1" s="186"/>
      <c r="XEQ1" s="186"/>
      <c r="XER1" s="186"/>
      <c r="XES1" s="186"/>
      <c r="XET1" s="186"/>
      <c r="XEU1" s="186"/>
      <c r="XEV1" s="186"/>
    </row>
    <row r="2" spans="1:16378" s="35" customFormat="1" ht="15" customHeight="1" x14ac:dyDescent="0.35">
      <c r="A2" s="32"/>
      <c r="B2" s="32"/>
      <c r="C2" s="32"/>
      <c r="D2" s="32"/>
      <c r="E2" s="32"/>
      <c r="F2" s="32"/>
      <c r="G2" s="32"/>
      <c r="H2" s="32"/>
      <c r="I2" s="32"/>
      <c r="J2" s="32"/>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c r="AMK2" s="13"/>
      <c r="AML2" s="13"/>
      <c r="AMM2" s="13"/>
      <c r="AMN2" s="13"/>
      <c r="AMO2" s="13"/>
      <c r="AMP2" s="13"/>
      <c r="AMQ2" s="13"/>
      <c r="AMR2" s="13"/>
      <c r="AMS2" s="13"/>
      <c r="AMT2" s="13"/>
      <c r="AMU2" s="13"/>
      <c r="AMV2" s="13"/>
      <c r="AMW2" s="13"/>
      <c r="AMX2" s="13"/>
      <c r="AMY2" s="13"/>
      <c r="AMZ2" s="13"/>
      <c r="ANA2" s="13"/>
      <c r="ANB2" s="13"/>
      <c r="ANC2" s="13"/>
      <c r="AND2" s="13"/>
      <c r="ANE2" s="13"/>
      <c r="ANF2" s="13"/>
      <c r="ANG2" s="13"/>
      <c r="ANH2" s="13"/>
      <c r="ANI2" s="13"/>
      <c r="ANJ2" s="13"/>
      <c r="ANK2" s="13"/>
      <c r="ANL2" s="13"/>
      <c r="ANM2" s="13"/>
      <c r="ANN2" s="13"/>
      <c r="ANO2" s="13"/>
      <c r="ANP2" s="13"/>
      <c r="ANQ2" s="13"/>
      <c r="ANR2" s="13"/>
      <c r="ANS2" s="13"/>
      <c r="ANT2" s="13"/>
      <c r="ANU2" s="13"/>
      <c r="ANV2" s="13"/>
      <c r="ANW2" s="13"/>
      <c r="ANX2" s="13"/>
      <c r="ANY2" s="13"/>
      <c r="ANZ2" s="13"/>
      <c r="AOA2" s="13"/>
      <c r="AOB2" s="13"/>
      <c r="AOC2" s="13"/>
      <c r="AOD2" s="13"/>
      <c r="AOE2" s="13"/>
      <c r="AOF2" s="13"/>
      <c r="AOG2" s="13"/>
      <c r="AOH2" s="13"/>
      <c r="AOI2" s="13"/>
      <c r="AOJ2" s="13"/>
      <c r="AOK2" s="13"/>
      <c r="AOL2" s="13"/>
      <c r="AOM2" s="13"/>
      <c r="AON2" s="13"/>
      <c r="AOO2" s="13"/>
      <c r="AOP2" s="13"/>
      <c r="AOQ2" s="13"/>
      <c r="AOR2" s="13"/>
      <c r="AOS2" s="13"/>
      <c r="AOT2" s="13"/>
      <c r="AOU2" s="13"/>
      <c r="AOV2" s="13"/>
      <c r="AOW2" s="13"/>
      <c r="AOX2" s="13"/>
      <c r="AOY2" s="13"/>
      <c r="AOZ2" s="13"/>
      <c r="APA2" s="13"/>
      <c r="APB2" s="13"/>
      <c r="APC2" s="13"/>
      <c r="APD2" s="13"/>
      <c r="APE2" s="13"/>
      <c r="APF2" s="13"/>
      <c r="APG2" s="13"/>
      <c r="APH2" s="13"/>
      <c r="API2" s="13"/>
      <c r="APJ2" s="13"/>
      <c r="APK2" s="13"/>
      <c r="APL2" s="13"/>
      <c r="APM2" s="13"/>
      <c r="APN2" s="13"/>
      <c r="APO2" s="13"/>
      <c r="APP2" s="13"/>
      <c r="APQ2" s="13"/>
      <c r="APR2" s="13"/>
      <c r="APS2" s="13"/>
      <c r="APT2" s="13"/>
      <c r="APU2" s="13"/>
      <c r="APV2" s="13"/>
      <c r="APW2" s="13"/>
      <c r="APX2" s="13"/>
      <c r="APY2" s="13"/>
      <c r="APZ2" s="13"/>
      <c r="AQA2" s="13"/>
      <c r="AQB2" s="13"/>
      <c r="AQC2" s="13"/>
      <c r="AQD2" s="13"/>
      <c r="AQE2" s="13"/>
      <c r="AQF2" s="13"/>
      <c r="AQG2" s="13"/>
      <c r="AQH2" s="13"/>
      <c r="AQI2" s="13"/>
      <c r="AQJ2" s="13"/>
      <c r="AQK2" s="13"/>
      <c r="AQL2" s="13"/>
      <c r="AQM2" s="13"/>
      <c r="AQN2" s="13"/>
      <c r="AQO2" s="13"/>
      <c r="AQP2" s="13"/>
      <c r="AQQ2" s="13"/>
      <c r="AQR2" s="13"/>
      <c r="AQS2" s="13"/>
      <c r="AQT2" s="13"/>
      <c r="AQU2" s="13"/>
      <c r="AQV2" s="13"/>
      <c r="AQW2" s="13"/>
      <c r="AQX2" s="13"/>
      <c r="AQY2" s="13"/>
      <c r="AQZ2" s="13"/>
      <c r="ARA2" s="13"/>
      <c r="ARB2" s="13"/>
      <c r="ARC2" s="13"/>
      <c r="ARD2" s="13"/>
      <c r="ARE2" s="13"/>
      <c r="ARF2" s="13"/>
      <c r="ARG2" s="13"/>
      <c r="ARH2" s="13"/>
      <c r="ARI2" s="13"/>
      <c r="ARJ2" s="13"/>
      <c r="ARK2" s="13"/>
      <c r="ARL2" s="13"/>
      <c r="ARM2" s="13"/>
      <c r="ARN2" s="13"/>
      <c r="ARO2" s="13"/>
      <c r="ARP2" s="13"/>
      <c r="ARQ2" s="13"/>
      <c r="ARR2" s="13"/>
      <c r="ARS2" s="13"/>
      <c r="ART2" s="13"/>
      <c r="ARU2" s="13"/>
      <c r="ARV2" s="13"/>
      <c r="ARW2" s="13"/>
      <c r="ARX2" s="13"/>
      <c r="ARY2" s="13"/>
      <c r="ARZ2" s="13"/>
      <c r="ASA2" s="13"/>
      <c r="ASB2" s="13"/>
      <c r="ASC2" s="13"/>
      <c r="ASD2" s="13"/>
      <c r="ASE2" s="13"/>
      <c r="ASF2" s="13"/>
      <c r="ASG2" s="13"/>
      <c r="ASH2" s="13"/>
      <c r="ASI2" s="13"/>
      <c r="ASJ2" s="13"/>
      <c r="ASK2" s="13"/>
      <c r="ASL2" s="13"/>
      <c r="ASM2" s="13"/>
      <c r="ASN2" s="13"/>
      <c r="ASO2" s="13"/>
      <c r="ASP2" s="13"/>
      <c r="ASQ2" s="13"/>
      <c r="ASR2" s="13"/>
      <c r="ASS2" s="13"/>
      <c r="AST2" s="13"/>
      <c r="ASU2" s="13"/>
      <c r="ASV2" s="13"/>
      <c r="ASW2" s="13"/>
      <c r="ASX2" s="13"/>
      <c r="ASY2" s="13"/>
      <c r="ASZ2" s="13"/>
      <c r="ATA2" s="13"/>
      <c r="ATB2" s="13"/>
      <c r="ATC2" s="13"/>
      <c r="ATD2" s="13"/>
      <c r="ATE2" s="13"/>
      <c r="ATF2" s="13"/>
      <c r="ATG2" s="13"/>
      <c r="ATH2" s="13"/>
      <c r="ATI2" s="13"/>
      <c r="ATJ2" s="13"/>
      <c r="ATK2" s="13"/>
      <c r="ATL2" s="13"/>
      <c r="ATM2" s="13"/>
      <c r="ATN2" s="13"/>
      <c r="ATO2" s="13"/>
      <c r="ATP2" s="13"/>
      <c r="ATQ2" s="13"/>
      <c r="ATR2" s="13"/>
      <c r="ATS2" s="13"/>
      <c r="ATT2" s="13"/>
      <c r="ATU2" s="13"/>
      <c r="ATV2" s="13"/>
      <c r="ATW2" s="13"/>
      <c r="ATX2" s="13"/>
      <c r="ATY2" s="13"/>
      <c r="ATZ2" s="13"/>
      <c r="AUA2" s="13"/>
      <c r="AUB2" s="13"/>
      <c r="AUC2" s="13"/>
      <c r="AUD2" s="13"/>
      <c r="AUE2" s="13"/>
      <c r="AUF2" s="13"/>
      <c r="AUG2" s="13"/>
      <c r="AUH2" s="13"/>
      <c r="AUI2" s="13"/>
      <c r="AUJ2" s="13"/>
      <c r="AUK2" s="13"/>
      <c r="AUL2" s="13"/>
      <c r="AUM2" s="13"/>
      <c r="AUN2" s="13"/>
      <c r="AUO2" s="13"/>
      <c r="AUP2" s="13"/>
      <c r="AUQ2" s="13"/>
      <c r="AUR2" s="13"/>
      <c r="AUS2" s="13"/>
      <c r="AUT2" s="13"/>
      <c r="AUU2" s="13"/>
      <c r="AUV2" s="13"/>
      <c r="AUW2" s="13"/>
      <c r="AUX2" s="13"/>
      <c r="AUY2" s="13"/>
      <c r="AUZ2" s="13"/>
      <c r="AVA2" s="13"/>
      <c r="AVB2" s="13"/>
      <c r="AVC2" s="13"/>
      <c r="AVD2" s="13"/>
      <c r="AVE2" s="13"/>
      <c r="AVF2" s="13"/>
      <c r="AVG2" s="13"/>
      <c r="AVH2" s="13"/>
      <c r="AVI2" s="13"/>
      <c r="AVJ2" s="13"/>
      <c r="AVK2" s="13"/>
      <c r="AVL2" s="13"/>
      <c r="AVM2" s="13"/>
      <c r="AVN2" s="13"/>
      <c r="AVO2" s="13"/>
      <c r="AVP2" s="13"/>
      <c r="AVQ2" s="13"/>
      <c r="AVR2" s="13"/>
      <c r="AVS2" s="13"/>
      <c r="AVT2" s="13"/>
      <c r="AVU2" s="13"/>
      <c r="AVV2" s="13"/>
      <c r="AVW2" s="13"/>
      <c r="AVX2" s="13"/>
      <c r="AVY2" s="13"/>
      <c r="AVZ2" s="13"/>
      <c r="AWA2" s="13"/>
      <c r="AWB2" s="13"/>
      <c r="AWC2" s="13"/>
      <c r="AWD2" s="13"/>
      <c r="AWE2" s="13"/>
      <c r="AWF2" s="13"/>
      <c r="AWG2" s="13"/>
      <c r="AWH2" s="13"/>
      <c r="AWI2" s="13"/>
      <c r="AWJ2" s="13"/>
      <c r="AWK2" s="13"/>
      <c r="AWL2" s="13"/>
      <c r="AWM2" s="13"/>
      <c r="AWN2" s="13"/>
      <c r="AWO2" s="13"/>
      <c r="AWP2" s="13"/>
      <c r="AWQ2" s="13"/>
      <c r="AWR2" s="13"/>
      <c r="AWS2" s="13"/>
      <c r="AWT2" s="13"/>
      <c r="AWU2" s="13"/>
      <c r="AWV2" s="13"/>
      <c r="AWW2" s="13"/>
      <c r="AWX2" s="13"/>
      <c r="AWY2" s="13"/>
      <c r="AWZ2" s="13"/>
      <c r="AXA2" s="13"/>
      <c r="AXB2" s="13"/>
      <c r="AXC2" s="13"/>
      <c r="AXD2" s="13"/>
      <c r="AXE2" s="13"/>
      <c r="AXF2" s="13"/>
      <c r="AXG2" s="13"/>
      <c r="AXH2" s="13"/>
      <c r="AXI2" s="13"/>
      <c r="AXJ2" s="13"/>
      <c r="AXK2" s="13"/>
      <c r="AXL2" s="13"/>
      <c r="AXM2" s="13"/>
      <c r="AXN2" s="13"/>
      <c r="AXO2" s="13"/>
      <c r="AXP2" s="13"/>
      <c r="AXQ2" s="13"/>
      <c r="AXR2" s="13"/>
      <c r="AXS2" s="13"/>
      <c r="AXT2" s="13"/>
      <c r="AXU2" s="13"/>
      <c r="AXV2" s="13"/>
      <c r="AXW2" s="13"/>
      <c r="AXX2" s="13"/>
      <c r="AXY2" s="13"/>
      <c r="AXZ2" s="13"/>
      <c r="AYA2" s="13"/>
      <c r="AYB2" s="13"/>
      <c r="AYC2" s="13"/>
      <c r="AYD2" s="13"/>
      <c r="AYE2" s="13"/>
      <c r="AYF2" s="13"/>
      <c r="AYG2" s="13"/>
      <c r="AYH2" s="13"/>
      <c r="AYI2" s="13"/>
      <c r="AYJ2" s="13"/>
      <c r="AYK2" s="13"/>
      <c r="AYL2" s="13"/>
      <c r="AYM2" s="13"/>
      <c r="AYN2" s="13"/>
      <c r="AYO2" s="13"/>
      <c r="AYP2" s="13"/>
      <c r="AYQ2" s="13"/>
      <c r="AYR2" s="13"/>
      <c r="AYS2" s="13"/>
      <c r="AYT2" s="13"/>
      <c r="AYU2" s="13"/>
      <c r="AYV2" s="13"/>
      <c r="AYW2" s="13"/>
      <c r="AYX2" s="13"/>
      <c r="AYY2" s="13"/>
      <c r="AYZ2" s="13"/>
      <c r="AZA2" s="13"/>
      <c r="AZB2" s="13"/>
      <c r="AZC2" s="13"/>
      <c r="AZD2" s="13"/>
      <c r="AZE2" s="13"/>
      <c r="AZF2" s="13"/>
      <c r="AZG2" s="13"/>
      <c r="AZH2" s="13"/>
      <c r="AZI2" s="13"/>
      <c r="AZJ2" s="13"/>
      <c r="AZK2" s="13"/>
      <c r="AZL2" s="13"/>
      <c r="AZM2" s="13"/>
      <c r="AZN2" s="13"/>
      <c r="AZO2" s="13"/>
      <c r="AZP2" s="13"/>
      <c r="AZQ2" s="13"/>
      <c r="AZR2" s="13"/>
      <c r="AZS2" s="13"/>
      <c r="AZT2" s="13"/>
      <c r="AZU2" s="13"/>
      <c r="AZV2" s="13"/>
      <c r="AZW2" s="13"/>
      <c r="AZX2" s="13"/>
      <c r="AZY2" s="13"/>
      <c r="AZZ2" s="13"/>
      <c r="BAA2" s="13"/>
      <c r="BAB2" s="13"/>
      <c r="BAC2" s="13"/>
      <c r="BAD2" s="13"/>
      <c r="BAE2" s="13"/>
      <c r="BAF2" s="13"/>
      <c r="BAG2" s="13"/>
      <c r="BAH2" s="13"/>
      <c r="BAI2" s="13"/>
      <c r="BAJ2" s="13"/>
      <c r="BAK2" s="13"/>
      <c r="BAL2" s="13"/>
      <c r="BAM2" s="13"/>
      <c r="BAN2" s="13"/>
      <c r="BAO2" s="13"/>
      <c r="BAP2" s="13"/>
      <c r="BAQ2" s="13"/>
      <c r="BAR2" s="13"/>
      <c r="BAS2" s="13"/>
      <c r="BAT2" s="13"/>
      <c r="BAU2" s="13"/>
      <c r="BAV2" s="13"/>
      <c r="BAW2" s="13"/>
      <c r="BAX2" s="13"/>
      <c r="BAY2" s="13"/>
      <c r="BAZ2" s="13"/>
      <c r="BBA2" s="13"/>
      <c r="BBB2" s="13"/>
      <c r="BBC2" s="13"/>
      <c r="BBD2" s="13"/>
      <c r="BBE2" s="13"/>
      <c r="BBF2" s="13"/>
      <c r="BBG2" s="13"/>
      <c r="BBH2" s="13"/>
      <c r="BBI2" s="13"/>
      <c r="BBJ2" s="13"/>
      <c r="BBK2" s="13"/>
      <c r="BBL2" s="13"/>
      <c r="BBM2" s="13"/>
      <c r="BBN2" s="13"/>
      <c r="BBO2" s="13"/>
      <c r="BBP2" s="13"/>
      <c r="BBQ2" s="13"/>
      <c r="BBR2" s="13"/>
      <c r="BBS2" s="13"/>
      <c r="BBT2" s="13"/>
      <c r="BBU2" s="13"/>
      <c r="BBV2" s="13"/>
      <c r="BBW2" s="13"/>
      <c r="BBX2" s="13"/>
      <c r="BBY2" s="13"/>
      <c r="BBZ2" s="13"/>
      <c r="BCA2" s="13"/>
      <c r="BCB2" s="13"/>
      <c r="BCC2" s="13"/>
      <c r="BCD2" s="13"/>
      <c r="BCE2" s="13"/>
      <c r="BCF2" s="13"/>
      <c r="BCG2" s="13"/>
      <c r="BCH2" s="13"/>
      <c r="BCI2" s="13"/>
      <c r="BCJ2" s="13"/>
      <c r="BCK2" s="13"/>
      <c r="BCL2" s="13"/>
      <c r="BCM2" s="13"/>
      <c r="BCN2" s="13"/>
      <c r="BCO2" s="13"/>
      <c r="BCP2" s="13"/>
      <c r="BCQ2" s="13"/>
      <c r="BCR2" s="13"/>
      <c r="BCS2" s="13"/>
      <c r="BCT2" s="13"/>
      <c r="BCU2" s="13"/>
      <c r="BCV2" s="13"/>
      <c r="BCW2" s="13"/>
      <c r="BCX2" s="13"/>
      <c r="BCY2" s="13"/>
      <c r="BCZ2" s="13"/>
      <c r="BDA2" s="13"/>
      <c r="BDB2" s="13"/>
      <c r="BDC2" s="13"/>
      <c r="BDD2" s="13"/>
      <c r="BDE2" s="13"/>
      <c r="BDF2" s="13"/>
      <c r="BDG2" s="13"/>
      <c r="BDH2" s="13"/>
      <c r="BDI2" s="13"/>
      <c r="BDJ2" s="13"/>
      <c r="BDK2" s="13"/>
      <c r="BDL2" s="13"/>
      <c r="BDM2" s="13"/>
      <c r="BDN2" s="13"/>
      <c r="BDO2" s="13"/>
      <c r="BDP2" s="13"/>
      <c r="BDQ2" s="13"/>
      <c r="BDR2" s="13"/>
      <c r="BDS2" s="13"/>
      <c r="BDT2" s="13"/>
      <c r="BDU2" s="13"/>
      <c r="BDV2" s="13"/>
      <c r="BDW2" s="13"/>
      <c r="BDX2" s="13"/>
      <c r="BDY2" s="13"/>
      <c r="BDZ2" s="13"/>
      <c r="BEA2" s="13"/>
      <c r="BEB2" s="13"/>
      <c r="BEC2" s="13"/>
      <c r="BED2" s="13"/>
      <c r="BEE2" s="13"/>
      <c r="BEF2" s="13"/>
      <c r="BEG2" s="13"/>
      <c r="BEH2" s="13"/>
      <c r="BEI2" s="13"/>
      <c r="BEJ2" s="13"/>
      <c r="BEK2" s="13"/>
      <c r="BEL2" s="13"/>
      <c r="BEM2" s="13"/>
      <c r="BEN2" s="13"/>
      <c r="BEO2" s="13"/>
      <c r="BEP2" s="13"/>
      <c r="BEQ2" s="13"/>
      <c r="BER2" s="13"/>
      <c r="BES2" s="13"/>
      <c r="BET2" s="13"/>
      <c r="BEU2" s="13"/>
      <c r="BEV2" s="13"/>
      <c r="BEW2" s="13"/>
      <c r="BEX2" s="13"/>
      <c r="BEY2" s="13"/>
      <c r="BEZ2" s="13"/>
      <c r="BFA2" s="13"/>
      <c r="BFB2" s="13"/>
      <c r="BFC2" s="13"/>
      <c r="BFD2" s="13"/>
      <c r="BFE2" s="13"/>
      <c r="BFF2" s="13"/>
      <c r="BFG2" s="13"/>
      <c r="BFH2" s="13"/>
      <c r="BFI2" s="13"/>
      <c r="BFJ2" s="13"/>
      <c r="BFK2" s="13"/>
      <c r="BFL2" s="13"/>
      <c r="BFM2" s="13"/>
      <c r="BFN2" s="13"/>
      <c r="BFO2" s="13"/>
      <c r="BFP2" s="13"/>
      <c r="BFQ2" s="13"/>
      <c r="BFR2" s="13"/>
      <c r="BFS2" s="13"/>
      <c r="BFT2" s="13"/>
      <c r="BFU2" s="13"/>
      <c r="BFV2" s="13"/>
      <c r="BFW2" s="13"/>
      <c r="BFX2" s="13"/>
      <c r="BFY2" s="13"/>
      <c r="BFZ2" s="13"/>
      <c r="BGA2" s="13"/>
      <c r="BGB2" s="13"/>
      <c r="BGC2" s="13"/>
      <c r="BGD2" s="13"/>
      <c r="BGE2" s="13"/>
      <c r="BGF2" s="13"/>
      <c r="BGG2" s="13"/>
      <c r="BGH2" s="13"/>
      <c r="BGI2" s="13"/>
      <c r="BGJ2" s="13"/>
      <c r="BGK2" s="13"/>
      <c r="BGL2" s="13"/>
      <c r="BGM2" s="13"/>
      <c r="BGN2" s="13"/>
      <c r="BGO2" s="13"/>
      <c r="BGP2" s="13"/>
      <c r="BGQ2" s="13"/>
      <c r="BGR2" s="13"/>
      <c r="BGS2" s="13"/>
      <c r="BGT2" s="13"/>
      <c r="BGU2" s="13"/>
      <c r="BGV2" s="13"/>
      <c r="BGW2" s="13"/>
      <c r="BGX2" s="13"/>
      <c r="BGY2" s="13"/>
      <c r="BGZ2" s="13"/>
      <c r="BHA2" s="13"/>
      <c r="BHB2" s="13"/>
      <c r="BHC2" s="13"/>
      <c r="BHD2" s="13"/>
      <c r="BHE2" s="13"/>
      <c r="BHF2" s="13"/>
      <c r="BHG2" s="13"/>
      <c r="BHH2" s="13"/>
      <c r="BHI2" s="13"/>
      <c r="BHJ2" s="13"/>
      <c r="BHK2" s="13"/>
      <c r="BHL2" s="13"/>
      <c r="BHM2" s="13"/>
      <c r="BHN2" s="13"/>
      <c r="BHO2" s="13"/>
      <c r="BHP2" s="13"/>
      <c r="BHQ2" s="13"/>
      <c r="BHR2" s="13"/>
      <c r="BHS2" s="13"/>
      <c r="BHT2" s="13"/>
      <c r="BHU2" s="13"/>
      <c r="BHV2" s="13"/>
      <c r="BHW2" s="13"/>
      <c r="BHX2" s="13"/>
      <c r="BHY2" s="13"/>
      <c r="BHZ2" s="13"/>
      <c r="BIA2" s="13"/>
      <c r="BIB2" s="13"/>
      <c r="BIC2" s="13"/>
      <c r="BID2" s="13"/>
      <c r="BIE2" s="13"/>
      <c r="BIF2" s="13"/>
      <c r="BIG2" s="13"/>
      <c r="BIH2" s="13"/>
      <c r="BII2" s="13"/>
      <c r="BIJ2" s="13"/>
      <c r="BIK2" s="13"/>
      <c r="BIL2" s="13"/>
      <c r="BIM2" s="13"/>
      <c r="BIN2" s="13"/>
      <c r="BIO2" s="13"/>
      <c r="BIP2" s="13"/>
      <c r="BIQ2" s="13"/>
      <c r="BIR2" s="13"/>
      <c r="BIS2" s="13"/>
      <c r="BIT2" s="13"/>
      <c r="BIU2" s="13"/>
      <c r="BIV2" s="13"/>
      <c r="BIW2" s="13"/>
      <c r="BIX2" s="13"/>
      <c r="BIY2" s="13"/>
      <c r="BIZ2" s="13"/>
      <c r="BJA2" s="13"/>
      <c r="BJB2" s="13"/>
      <c r="BJC2" s="13"/>
      <c r="BJD2" s="13"/>
      <c r="BJE2" s="13"/>
      <c r="BJF2" s="13"/>
      <c r="BJG2" s="13"/>
      <c r="BJH2" s="13"/>
      <c r="BJI2" s="13"/>
      <c r="BJJ2" s="13"/>
      <c r="BJK2" s="13"/>
      <c r="BJL2" s="13"/>
      <c r="BJM2" s="13"/>
      <c r="BJN2" s="13"/>
      <c r="BJO2" s="13"/>
      <c r="BJP2" s="13"/>
      <c r="BJQ2" s="13"/>
      <c r="BJR2" s="13"/>
      <c r="BJS2" s="13"/>
      <c r="BJT2" s="13"/>
      <c r="BJU2" s="13"/>
      <c r="BJV2" s="13"/>
      <c r="BJW2" s="13"/>
      <c r="BJX2" s="13"/>
      <c r="BJY2" s="13"/>
      <c r="BJZ2" s="13"/>
      <c r="BKA2" s="13"/>
      <c r="BKB2" s="13"/>
      <c r="BKC2" s="13"/>
      <c r="BKD2" s="13"/>
      <c r="BKE2" s="13"/>
      <c r="BKF2" s="13"/>
      <c r="BKG2" s="13"/>
      <c r="BKH2" s="13"/>
      <c r="BKI2" s="13"/>
      <c r="BKJ2" s="13"/>
      <c r="BKK2" s="13"/>
      <c r="BKL2" s="13"/>
      <c r="BKM2" s="13"/>
      <c r="BKN2" s="13"/>
      <c r="BKO2" s="13"/>
      <c r="BKP2" s="13"/>
      <c r="BKQ2" s="13"/>
      <c r="BKR2" s="13"/>
      <c r="BKS2" s="13"/>
      <c r="BKT2" s="13"/>
      <c r="BKU2" s="13"/>
      <c r="BKV2" s="13"/>
      <c r="BKW2" s="13"/>
      <c r="BKX2" s="13"/>
      <c r="BKY2" s="13"/>
      <c r="BKZ2" s="13"/>
      <c r="BLA2" s="13"/>
      <c r="BLB2" s="13"/>
      <c r="BLC2" s="13"/>
      <c r="BLD2" s="13"/>
      <c r="BLE2" s="13"/>
      <c r="BLF2" s="13"/>
      <c r="BLG2" s="13"/>
      <c r="BLH2" s="13"/>
      <c r="BLI2" s="13"/>
      <c r="BLJ2" s="13"/>
      <c r="BLK2" s="13"/>
      <c r="BLL2" s="13"/>
      <c r="BLM2" s="13"/>
      <c r="BLN2" s="13"/>
      <c r="BLO2" s="13"/>
      <c r="BLP2" s="13"/>
      <c r="BLQ2" s="13"/>
      <c r="BLR2" s="13"/>
      <c r="BLS2" s="13"/>
      <c r="BLT2" s="13"/>
      <c r="BLU2" s="13"/>
      <c r="BLV2" s="13"/>
      <c r="BLW2" s="13"/>
      <c r="BLX2" s="13"/>
      <c r="BLY2" s="13"/>
      <c r="BLZ2" s="13"/>
      <c r="BMA2" s="13"/>
      <c r="BMB2" s="13"/>
      <c r="BMC2" s="13"/>
      <c r="BMD2" s="13"/>
      <c r="BME2" s="13"/>
      <c r="BMF2" s="13"/>
      <c r="BMG2" s="13"/>
      <c r="BMH2" s="13"/>
      <c r="BMI2" s="13"/>
      <c r="BMJ2" s="13"/>
      <c r="BMK2" s="13"/>
      <c r="BML2" s="13"/>
      <c r="BMM2" s="13"/>
      <c r="BMN2" s="13"/>
      <c r="BMO2" s="13"/>
      <c r="BMP2" s="13"/>
      <c r="BMQ2" s="13"/>
      <c r="BMR2" s="13"/>
      <c r="BMS2" s="13"/>
      <c r="BMT2" s="13"/>
      <c r="BMU2" s="13"/>
      <c r="BMV2" s="13"/>
      <c r="BMW2" s="13"/>
      <c r="BMX2" s="13"/>
      <c r="BMY2" s="13"/>
      <c r="BMZ2" s="13"/>
      <c r="BNA2" s="13"/>
      <c r="BNB2" s="13"/>
      <c r="BNC2" s="13"/>
      <c r="BND2" s="13"/>
      <c r="BNE2" s="13"/>
      <c r="BNF2" s="13"/>
      <c r="BNG2" s="13"/>
      <c r="BNH2" s="13"/>
      <c r="BNI2" s="13"/>
      <c r="BNJ2" s="13"/>
      <c r="BNK2" s="13"/>
      <c r="BNL2" s="13"/>
      <c r="BNM2" s="13"/>
      <c r="BNN2" s="13"/>
      <c r="BNO2" s="13"/>
      <c r="BNP2" s="13"/>
      <c r="BNQ2" s="13"/>
      <c r="BNR2" s="13"/>
      <c r="BNS2" s="13"/>
      <c r="BNT2" s="13"/>
      <c r="BNU2" s="13"/>
      <c r="BNV2" s="13"/>
      <c r="BNW2" s="13"/>
      <c r="BNX2" s="13"/>
      <c r="BNY2" s="13"/>
      <c r="BNZ2" s="13"/>
      <c r="BOA2" s="13"/>
      <c r="BOB2" s="13"/>
      <c r="BOC2" s="13"/>
      <c r="BOD2" s="13"/>
      <c r="BOE2" s="13"/>
      <c r="BOF2" s="13"/>
      <c r="BOG2" s="13"/>
      <c r="BOH2" s="13"/>
      <c r="BOI2" s="13"/>
      <c r="BOJ2" s="13"/>
      <c r="BOK2" s="13"/>
      <c r="BOL2" s="13"/>
      <c r="BOM2" s="13"/>
      <c r="BON2" s="13"/>
      <c r="BOO2" s="13"/>
      <c r="BOP2" s="13"/>
      <c r="BOQ2" s="13"/>
      <c r="BOR2" s="13"/>
      <c r="BOS2" s="13"/>
      <c r="BOT2" s="13"/>
      <c r="BOU2" s="13"/>
      <c r="BOV2" s="13"/>
      <c r="BOW2" s="13"/>
      <c r="BOX2" s="13"/>
      <c r="BOY2" s="13"/>
      <c r="BOZ2" s="13"/>
      <c r="BPA2" s="13"/>
      <c r="BPB2" s="13"/>
      <c r="BPC2" s="13"/>
      <c r="BPD2" s="13"/>
      <c r="BPE2" s="13"/>
      <c r="BPF2" s="13"/>
      <c r="BPG2" s="13"/>
      <c r="BPH2" s="13"/>
      <c r="BPI2" s="13"/>
      <c r="BPJ2" s="13"/>
      <c r="BPK2" s="13"/>
      <c r="BPL2" s="13"/>
      <c r="BPM2" s="13"/>
      <c r="BPN2" s="13"/>
      <c r="BPO2" s="13"/>
      <c r="BPP2" s="13"/>
      <c r="BPQ2" s="13"/>
      <c r="BPR2" s="13"/>
      <c r="BPS2" s="13"/>
      <c r="BPT2" s="13"/>
      <c r="BPU2" s="13"/>
      <c r="BPV2" s="13"/>
      <c r="BPW2" s="13"/>
      <c r="BPX2" s="13"/>
      <c r="BPY2" s="13"/>
      <c r="BPZ2" s="13"/>
      <c r="BQA2" s="13"/>
      <c r="BQB2" s="13"/>
      <c r="BQC2" s="13"/>
      <c r="BQD2" s="13"/>
      <c r="BQE2" s="13"/>
      <c r="BQF2" s="13"/>
      <c r="BQG2" s="13"/>
      <c r="BQH2" s="13"/>
      <c r="BQI2" s="13"/>
      <c r="BQJ2" s="13"/>
      <c r="BQK2" s="13"/>
      <c r="BQL2" s="13"/>
      <c r="BQM2" s="13"/>
      <c r="BQN2" s="13"/>
      <c r="BQO2" s="13"/>
      <c r="BQP2" s="13"/>
      <c r="BQQ2" s="13"/>
      <c r="BQR2" s="13"/>
      <c r="BQS2" s="13"/>
      <c r="BQT2" s="13"/>
      <c r="BQU2" s="13"/>
      <c r="BQV2" s="13"/>
      <c r="BQW2" s="13"/>
      <c r="BQX2" s="13"/>
      <c r="BQY2" s="13"/>
      <c r="BQZ2" s="13"/>
      <c r="BRA2" s="13"/>
      <c r="BRB2" s="13"/>
      <c r="BRC2" s="13"/>
      <c r="BRD2" s="13"/>
      <c r="BRE2" s="13"/>
      <c r="BRF2" s="13"/>
      <c r="BRG2" s="13"/>
      <c r="BRH2" s="13"/>
      <c r="BRI2" s="13"/>
      <c r="BRJ2" s="13"/>
      <c r="BRK2" s="13"/>
      <c r="BRL2" s="13"/>
      <c r="BRM2" s="13"/>
      <c r="BRN2" s="13"/>
      <c r="BRO2" s="13"/>
      <c r="BRP2" s="13"/>
      <c r="BRQ2" s="13"/>
      <c r="BRR2" s="13"/>
      <c r="BRS2" s="13"/>
      <c r="BRT2" s="13"/>
      <c r="BRU2" s="13"/>
      <c r="BRV2" s="13"/>
      <c r="BRW2" s="13"/>
      <c r="BRX2" s="13"/>
      <c r="BRY2" s="13"/>
      <c r="BRZ2" s="13"/>
      <c r="BSA2" s="13"/>
      <c r="BSB2" s="13"/>
      <c r="BSC2" s="13"/>
      <c r="BSD2" s="13"/>
      <c r="BSE2" s="13"/>
      <c r="BSF2" s="13"/>
      <c r="BSG2" s="13"/>
      <c r="BSH2" s="13"/>
      <c r="BSI2" s="13"/>
      <c r="BSJ2" s="13"/>
      <c r="BSK2" s="13"/>
      <c r="BSL2" s="13"/>
      <c r="BSM2" s="13"/>
      <c r="BSN2" s="13"/>
      <c r="BSO2" s="13"/>
      <c r="BSP2" s="13"/>
      <c r="BSQ2" s="13"/>
      <c r="BSR2" s="13"/>
      <c r="BSS2" s="13"/>
      <c r="BST2" s="13"/>
      <c r="BSU2" s="13"/>
      <c r="BSV2" s="13"/>
      <c r="BSW2" s="13"/>
      <c r="BSX2" s="13"/>
      <c r="BSY2" s="13"/>
      <c r="BSZ2" s="13"/>
      <c r="BTA2" s="13"/>
      <c r="BTB2" s="13"/>
      <c r="BTC2" s="13"/>
      <c r="BTD2" s="13"/>
      <c r="BTE2" s="13"/>
      <c r="BTF2" s="13"/>
      <c r="BTG2" s="13"/>
      <c r="BTH2" s="13"/>
      <c r="BTI2" s="13"/>
      <c r="BTJ2" s="13"/>
      <c r="BTK2" s="13"/>
      <c r="BTL2" s="13"/>
      <c r="BTM2" s="13"/>
      <c r="BTN2" s="13"/>
      <c r="BTO2" s="13"/>
      <c r="BTP2" s="13"/>
      <c r="BTQ2" s="13"/>
      <c r="BTR2" s="13"/>
      <c r="BTS2" s="13"/>
      <c r="BTT2" s="13"/>
      <c r="BTU2" s="13"/>
      <c r="BTV2" s="13"/>
      <c r="BTW2" s="13"/>
      <c r="BTX2" s="13"/>
      <c r="BTY2" s="13"/>
      <c r="BTZ2" s="13"/>
      <c r="BUA2" s="13"/>
      <c r="BUB2" s="13"/>
      <c r="BUC2" s="13"/>
      <c r="BUD2" s="13"/>
      <c r="BUE2" s="13"/>
      <c r="BUF2" s="13"/>
      <c r="BUG2" s="13"/>
      <c r="BUH2" s="13"/>
      <c r="BUI2" s="13"/>
      <c r="BUJ2" s="13"/>
      <c r="BUK2" s="13"/>
      <c r="BUL2" s="13"/>
      <c r="BUM2" s="13"/>
      <c r="BUN2" s="13"/>
      <c r="BUO2" s="13"/>
      <c r="BUP2" s="13"/>
      <c r="BUQ2" s="13"/>
      <c r="BUR2" s="13"/>
      <c r="BUS2" s="13"/>
      <c r="BUT2" s="13"/>
      <c r="BUU2" s="13"/>
      <c r="BUV2" s="13"/>
      <c r="BUW2" s="13"/>
      <c r="BUX2" s="13"/>
      <c r="BUY2" s="13"/>
      <c r="BUZ2" s="13"/>
      <c r="BVA2" s="13"/>
      <c r="BVB2" s="13"/>
      <c r="BVC2" s="13"/>
      <c r="BVD2" s="13"/>
      <c r="BVE2" s="13"/>
      <c r="BVF2" s="13"/>
      <c r="BVG2" s="13"/>
      <c r="BVH2" s="13"/>
      <c r="BVI2" s="13"/>
      <c r="BVJ2" s="13"/>
      <c r="BVK2" s="13"/>
      <c r="BVL2" s="13"/>
      <c r="BVM2" s="13"/>
      <c r="BVN2" s="13"/>
      <c r="BVO2" s="13"/>
      <c r="BVP2" s="13"/>
      <c r="BVQ2" s="13"/>
      <c r="BVR2" s="13"/>
      <c r="BVS2" s="13"/>
      <c r="BVT2" s="13"/>
      <c r="BVU2" s="13"/>
      <c r="BVV2" s="13"/>
      <c r="BVW2" s="13"/>
      <c r="BVX2" s="13"/>
      <c r="BVY2" s="13"/>
      <c r="BVZ2" s="13"/>
      <c r="BWA2" s="13"/>
      <c r="BWB2" s="13"/>
      <c r="BWC2" s="13"/>
      <c r="BWD2" s="13"/>
      <c r="BWE2" s="13"/>
      <c r="BWF2" s="13"/>
      <c r="BWG2" s="13"/>
      <c r="BWH2" s="13"/>
      <c r="BWI2" s="13"/>
      <c r="BWJ2" s="13"/>
      <c r="BWK2" s="13"/>
      <c r="BWL2" s="13"/>
      <c r="BWM2" s="13"/>
      <c r="BWN2" s="13"/>
      <c r="BWO2" s="13"/>
      <c r="BWP2" s="13"/>
      <c r="BWQ2" s="13"/>
      <c r="BWR2" s="13"/>
      <c r="BWS2" s="13"/>
      <c r="BWT2" s="13"/>
      <c r="BWU2" s="13"/>
      <c r="BWV2" s="13"/>
      <c r="BWW2" s="13"/>
      <c r="BWX2" s="13"/>
      <c r="BWY2" s="13"/>
      <c r="BWZ2" s="13"/>
      <c r="BXA2" s="13"/>
      <c r="BXB2" s="13"/>
      <c r="BXC2" s="13"/>
      <c r="BXD2" s="13"/>
      <c r="BXE2" s="13"/>
      <c r="BXF2" s="13"/>
      <c r="BXG2" s="13"/>
      <c r="BXH2" s="13"/>
      <c r="BXI2" s="13"/>
      <c r="BXJ2" s="13"/>
      <c r="BXK2" s="13"/>
      <c r="BXL2" s="13"/>
      <c r="BXM2" s="13"/>
      <c r="BXN2" s="13"/>
      <c r="BXO2" s="13"/>
      <c r="BXP2" s="13"/>
      <c r="BXQ2" s="13"/>
      <c r="BXR2" s="13"/>
      <c r="BXS2" s="13"/>
      <c r="BXT2" s="13"/>
      <c r="BXU2" s="13"/>
      <c r="BXV2" s="13"/>
      <c r="BXW2" s="13"/>
      <c r="BXX2" s="13"/>
      <c r="BXY2" s="13"/>
      <c r="BXZ2" s="13"/>
      <c r="BYA2" s="13"/>
      <c r="BYB2" s="13"/>
      <c r="BYC2" s="13"/>
      <c r="BYD2" s="13"/>
      <c r="BYE2" s="13"/>
      <c r="BYF2" s="13"/>
      <c r="BYG2" s="13"/>
      <c r="BYH2" s="13"/>
      <c r="BYI2" s="13"/>
      <c r="BYJ2" s="13"/>
      <c r="BYK2" s="13"/>
      <c r="BYL2" s="13"/>
      <c r="BYM2" s="13"/>
      <c r="BYN2" s="13"/>
      <c r="BYO2" s="13"/>
      <c r="BYP2" s="13"/>
      <c r="BYQ2" s="13"/>
      <c r="BYR2" s="13"/>
      <c r="BYS2" s="13"/>
      <c r="BYT2" s="13"/>
      <c r="BYU2" s="13"/>
      <c r="BYV2" s="13"/>
      <c r="BYW2" s="13"/>
      <c r="BYX2" s="13"/>
      <c r="BYY2" s="13"/>
      <c r="BYZ2" s="13"/>
      <c r="BZA2" s="13"/>
      <c r="BZB2" s="13"/>
      <c r="BZC2" s="13"/>
      <c r="BZD2" s="13"/>
      <c r="BZE2" s="13"/>
      <c r="BZF2" s="13"/>
      <c r="BZG2" s="13"/>
      <c r="BZH2" s="13"/>
      <c r="BZI2" s="13"/>
      <c r="BZJ2" s="13"/>
      <c r="BZK2" s="13"/>
      <c r="BZL2" s="13"/>
      <c r="BZM2" s="13"/>
      <c r="BZN2" s="13"/>
      <c r="BZO2" s="13"/>
      <c r="BZP2" s="13"/>
      <c r="BZQ2" s="13"/>
      <c r="BZR2" s="13"/>
      <c r="BZS2" s="13"/>
      <c r="BZT2" s="13"/>
      <c r="BZU2" s="13"/>
      <c r="BZV2" s="13"/>
      <c r="BZW2" s="13"/>
      <c r="BZX2" s="13"/>
      <c r="BZY2" s="13"/>
      <c r="BZZ2" s="13"/>
      <c r="CAA2" s="13"/>
      <c r="CAB2" s="13"/>
      <c r="CAC2" s="13"/>
      <c r="CAD2" s="13"/>
      <c r="CAE2" s="13"/>
      <c r="CAF2" s="13"/>
      <c r="CAG2" s="13"/>
      <c r="CAH2" s="13"/>
      <c r="CAI2" s="13"/>
      <c r="CAJ2" s="13"/>
      <c r="CAK2" s="13"/>
      <c r="CAL2" s="13"/>
      <c r="CAM2" s="13"/>
      <c r="CAN2" s="13"/>
      <c r="CAO2" s="13"/>
      <c r="CAP2" s="13"/>
      <c r="CAQ2" s="13"/>
      <c r="CAR2" s="13"/>
      <c r="CAS2" s="13"/>
      <c r="CAT2" s="13"/>
      <c r="CAU2" s="13"/>
      <c r="CAV2" s="13"/>
      <c r="CAW2" s="13"/>
      <c r="CAX2" s="13"/>
      <c r="CAY2" s="13"/>
      <c r="CAZ2" s="13"/>
      <c r="CBA2" s="13"/>
      <c r="CBB2" s="13"/>
      <c r="CBC2" s="13"/>
      <c r="CBD2" s="13"/>
      <c r="CBE2" s="13"/>
      <c r="CBF2" s="13"/>
      <c r="CBG2" s="13"/>
      <c r="CBH2" s="13"/>
      <c r="CBI2" s="13"/>
      <c r="CBJ2" s="13"/>
      <c r="CBK2" s="13"/>
      <c r="CBL2" s="13"/>
      <c r="CBM2" s="13"/>
      <c r="CBN2" s="13"/>
      <c r="CBO2" s="13"/>
      <c r="CBP2" s="13"/>
      <c r="CBQ2" s="13"/>
      <c r="CBR2" s="13"/>
      <c r="CBS2" s="13"/>
      <c r="CBT2" s="13"/>
      <c r="CBU2" s="13"/>
      <c r="CBV2" s="13"/>
      <c r="CBW2" s="13"/>
      <c r="CBX2" s="13"/>
      <c r="CBY2" s="13"/>
      <c r="CBZ2" s="13"/>
      <c r="CCA2" s="13"/>
      <c r="CCB2" s="13"/>
      <c r="CCC2" s="13"/>
      <c r="CCD2" s="13"/>
      <c r="CCE2" s="13"/>
      <c r="CCF2" s="13"/>
      <c r="CCG2" s="13"/>
      <c r="CCH2" s="13"/>
      <c r="CCI2" s="13"/>
      <c r="CCJ2" s="13"/>
      <c r="CCK2" s="13"/>
      <c r="CCL2" s="13"/>
      <c r="CCM2" s="13"/>
      <c r="CCN2" s="13"/>
      <c r="CCO2" s="13"/>
      <c r="CCP2" s="13"/>
      <c r="CCQ2" s="13"/>
      <c r="CCR2" s="13"/>
      <c r="CCS2" s="13"/>
      <c r="CCT2" s="13"/>
      <c r="CCU2" s="13"/>
      <c r="CCV2" s="13"/>
      <c r="CCW2" s="13"/>
      <c r="CCX2" s="13"/>
      <c r="CCY2" s="13"/>
      <c r="CCZ2" s="13"/>
      <c r="CDA2" s="13"/>
      <c r="CDB2" s="13"/>
      <c r="CDC2" s="13"/>
      <c r="CDD2" s="13"/>
      <c r="CDE2" s="13"/>
      <c r="CDF2" s="13"/>
      <c r="CDG2" s="13"/>
      <c r="CDH2" s="13"/>
      <c r="CDI2" s="13"/>
      <c r="CDJ2" s="13"/>
      <c r="CDK2" s="13"/>
      <c r="CDL2" s="13"/>
      <c r="CDM2" s="13"/>
      <c r="CDN2" s="13"/>
      <c r="CDO2" s="13"/>
      <c r="CDP2" s="13"/>
      <c r="CDQ2" s="13"/>
      <c r="CDR2" s="13"/>
      <c r="CDS2" s="13"/>
      <c r="CDT2" s="13"/>
      <c r="CDU2" s="13"/>
      <c r="CDV2" s="13"/>
      <c r="CDW2" s="13"/>
      <c r="CDX2" s="13"/>
      <c r="CDY2" s="13"/>
      <c r="CDZ2" s="13"/>
      <c r="CEA2" s="13"/>
      <c r="CEB2" s="13"/>
      <c r="CEC2" s="13"/>
      <c r="CED2" s="13"/>
      <c r="CEE2" s="13"/>
      <c r="CEF2" s="13"/>
      <c r="CEG2" s="13"/>
      <c r="CEH2" s="13"/>
      <c r="CEI2" s="13"/>
      <c r="CEJ2" s="13"/>
      <c r="CEK2" s="13"/>
      <c r="CEL2" s="13"/>
      <c r="CEM2" s="13"/>
      <c r="CEN2" s="13"/>
      <c r="CEO2" s="13"/>
      <c r="CEP2" s="13"/>
      <c r="CEQ2" s="13"/>
      <c r="CER2" s="13"/>
      <c r="CES2" s="13"/>
      <c r="CET2" s="13"/>
      <c r="CEU2" s="13"/>
      <c r="CEV2" s="13"/>
      <c r="CEW2" s="13"/>
      <c r="CEX2" s="13"/>
      <c r="CEY2" s="13"/>
      <c r="CEZ2" s="13"/>
      <c r="CFA2" s="13"/>
      <c r="CFB2" s="13"/>
      <c r="CFC2" s="13"/>
      <c r="CFD2" s="13"/>
      <c r="CFE2" s="13"/>
      <c r="CFF2" s="13"/>
      <c r="CFG2" s="13"/>
      <c r="CFH2" s="13"/>
      <c r="CFI2" s="13"/>
      <c r="CFJ2" s="13"/>
      <c r="CFK2" s="13"/>
      <c r="CFL2" s="13"/>
      <c r="CFM2" s="13"/>
      <c r="CFN2" s="13"/>
      <c r="CFO2" s="13"/>
      <c r="CFP2" s="13"/>
      <c r="CFQ2" s="13"/>
      <c r="CFR2" s="13"/>
      <c r="CFS2" s="13"/>
      <c r="CFT2" s="13"/>
      <c r="CFU2" s="13"/>
      <c r="CFV2" s="13"/>
      <c r="CFW2" s="13"/>
      <c r="CFX2" s="13"/>
      <c r="CFY2" s="13"/>
      <c r="CFZ2" s="13"/>
      <c r="CGA2" s="13"/>
      <c r="CGB2" s="13"/>
      <c r="CGC2" s="13"/>
      <c r="CGD2" s="13"/>
      <c r="CGE2" s="13"/>
      <c r="CGF2" s="13"/>
      <c r="CGG2" s="13"/>
      <c r="CGH2" s="13"/>
      <c r="CGI2" s="13"/>
      <c r="CGJ2" s="13"/>
      <c r="CGK2" s="13"/>
      <c r="CGL2" s="13"/>
      <c r="CGM2" s="13"/>
      <c r="CGN2" s="13"/>
      <c r="CGO2" s="13"/>
      <c r="CGP2" s="13"/>
      <c r="CGQ2" s="13"/>
      <c r="CGR2" s="13"/>
      <c r="CGS2" s="13"/>
      <c r="CGT2" s="13"/>
      <c r="CGU2" s="13"/>
      <c r="CGV2" s="13"/>
      <c r="CGW2" s="13"/>
      <c r="CGX2" s="13"/>
      <c r="CGY2" s="13"/>
      <c r="CGZ2" s="13"/>
      <c r="CHA2" s="13"/>
      <c r="CHB2" s="13"/>
      <c r="CHC2" s="13"/>
      <c r="CHD2" s="13"/>
      <c r="CHE2" s="13"/>
      <c r="CHF2" s="13"/>
      <c r="CHG2" s="13"/>
      <c r="CHH2" s="13"/>
      <c r="CHI2" s="13"/>
      <c r="CHJ2" s="13"/>
      <c r="CHK2" s="13"/>
      <c r="CHL2" s="13"/>
      <c r="CHM2" s="13"/>
      <c r="CHN2" s="13"/>
      <c r="CHO2" s="13"/>
      <c r="CHP2" s="13"/>
      <c r="CHQ2" s="13"/>
      <c r="CHR2" s="13"/>
      <c r="CHS2" s="13"/>
      <c r="CHT2" s="13"/>
      <c r="CHU2" s="13"/>
      <c r="CHV2" s="13"/>
      <c r="CHW2" s="13"/>
      <c r="CHX2" s="13"/>
      <c r="CHY2" s="13"/>
      <c r="CHZ2" s="13"/>
      <c r="CIA2" s="13"/>
      <c r="CIB2" s="13"/>
      <c r="CIC2" s="13"/>
      <c r="CID2" s="13"/>
      <c r="CIE2" s="13"/>
      <c r="CIF2" s="13"/>
      <c r="CIG2" s="13"/>
      <c r="CIH2" s="13"/>
      <c r="CII2" s="13"/>
      <c r="CIJ2" s="13"/>
      <c r="CIK2" s="13"/>
      <c r="CIL2" s="13"/>
      <c r="CIM2" s="13"/>
      <c r="CIN2" s="13"/>
      <c r="CIO2" s="13"/>
      <c r="CIP2" s="13"/>
      <c r="CIQ2" s="13"/>
      <c r="CIR2" s="13"/>
      <c r="CIS2" s="13"/>
      <c r="CIT2" s="13"/>
      <c r="CIU2" s="13"/>
      <c r="CIV2" s="13"/>
      <c r="CIW2" s="13"/>
      <c r="CIX2" s="13"/>
      <c r="CIY2" s="13"/>
      <c r="CIZ2" s="13"/>
      <c r="CJA2" s="13"/>
      <c r="CJB2" s="13"/>
      <c r="CJC2" s="13"/>
      <c r="CJD2" s="13"/>
      <c r="CJE2" s="13"/>
      <c r="CJF2" s="13"/>
      <c r="CJG2" s="13"/>
      <c r="CJH2" s="13"/>
      <c r="CJI2" s="13"/>
      <c r="CJJ2" s="13"/>
      <c r="CJK2" s="13"/>
      <c r="CJL2" s="13"/>
      <c r="CJM2" s="13"/>
      <c r="CJN2" s="13"/>
      <c r="CJO2" s="13"/>
      <c r="CJP2" s="13"/>
      <c r="CJQ2" s="13"/>
      <c r="CJR2" s="13"/>
      <c r="CJS2" s="13"/>
      <c r="CJT2" s="13"/>
      <c r="CJU2" s="13"/>
      <c r="CJV2" s="13"/>
      <c r="CJW2" s="13"/>
      <c r="CJX2" s="13"/>
      <c r="CJY2" s="13"/>
      <c r="CJZ2" s="13"/>
      <c r="CKA2" s="13"/>
      <c r="CKB2" s="13"/>
      <c r="CKC2" s="13"/>
      <c r="CKD2" s="13"/>
      <c r="CKE2" s="13"/>
      <c r="CKF2" s="13"/>
      <c r="CKG2" s="13"/>
      <c r="CKH2" s="13"/>
      <c r="CKI2" s="13"/>
      <c r="CKJ2" s="13"/>
      <c r="CKK2" s="13"/>
      <c r="CKL2" s="13"/>
      <c r="CKM2" s="13"/>
      <c r="CKN2" s="13"/>
      <c r="CKO2" s="13"/>
      <c r="CKP2" s="13"/>
      <c r="CKQ2" s="13"/>
      <c r="CKR2" s="13"/>
      <c r="CKS2" s="13"/>
      <c r="CKT2" s="13"/>
      <c r="CKU2" s="13"/>
      <c r="CKV2" s="13"/>
      <c r="CKW2" s="13"/>
      <c r="CKX2" s="13"/>
      <c r="CKY2" s="13"/>
      <c r="CKZ2" s="13"/>
      <c r="CLA2" s="13"/>
      <c r="CLB2" s="13"/>
      <c r="CLC2" s="13"/>
      <c r="CLD2" s="13"/>
      <c r="CLE2" s="13"/>
      <c r="CLF2" s="13"/>
      <c r="CLG2" s="13"/>
      <c r="CLH2" s="13"/>
      <c r="CLI2" s="13"/>
      <c r="CLJ2" s="13"/>
      <c r="CLK2" s="13"/>
      <c r="CLL2" s="13"/>
      <c r="CLM2" s="13"/>
      <c r="CLN2" s="13"/>
      <c r="CLO2" s="13"/>
      <c r="CLP2" s="13"/>
      <c r="CLQ2" s="13"/>
      <c r="CLR2" s="13"/>
      <c r="CLS2" s="13"/>
      <c r="CLT2" s="13"/>
      <c r="CLU2" s="13"/>
      <c r="CLV2" s="13"/>
      <c r="CLW2" s="13"/>
      <c r="CLX2" s="13"/>
      <c r="CLY2" s="13"/>
      <c r="CLZ2" s="13"/>
      <c r="CMA2" s="13"/>
      <c r="CMB2" s="13"/>
      <c r="CMC2" s="13"/>
      <c r="CMD2" s="13"/>
      <c r="CME2" s="13"/>
      <c r="CMF2" s="13"/>
      <c r="CMG2" s="13"/>
      <c r="CMH2" s="13"/>
      <c r="CMI2" s="13"/>
      <c r="CMJ2" s="13"/>
      <c r="CMK2" s="13"/>
      <c r="CML2" s="13"/>
      <c r="CMM2" s="13"/>
      <c r="CMN2" s="13"/>
      <c r="CMO2" s="13"/>
      <c r="CMP2" s="13"/>
      <c r="CMQ2" s="13"/>
      <c r="CMR2" s="13"/>
      <c r="CMS2" s="13"/>
      <c r="CMT2" s="13"/>
      <c r="CMU2" s="13"/>
      <c r="CMV2" s="13"/>
      <c r="CMW2" s="13"/>
      <c r="CMX2" s="13"/>
      <c r="CMY2" s="13"/>
      <c r="CMZ2" s="13"/>
      <c r="CNA2" s="13"/>
      <c r="CNB2" s="13"/>
      <c r="CNC2" s="13"/>
      <c r="CND2" s="13"/>
      <c r="CNE2" s="13"/>
      <c r="CNF2" s="13"/>
      <c r="CNG2" s="13"/>
      <c r="CNH2" s="13"/>
      <c r="CNI2" s="13"/>
      <c r="CNJ2" s="13"/>
      <c r="CNK2" s="13"/>
      <c r="CNL2" s="13"/>
      <c r="CNM2" s="13"/>
      <c r="CNN2" s="13"/>
      <c r="CNO2" s="13"/>
      <c r="CNP2" s="13"/>
      <c r="CNQ2" s="13"/>
      <c r="CNR2" s="13"/>
      <c r="CNS2" s="13"/>
      <c r="CNT2" s="13"/>
      <c r="CNU2" s="13"/>
      <c r="CNV2" s="13"/>
      <c r="CNW2" s="13"/>
      <c r="CNX2" s="13"/>
      <c r="CNY2" s="13"/>
      <c r="CNZ2" s="13"/>
      <c r="COA2" s="13"/>
      <c r="COB2" s="13"/>
      <c r="COC2" s="13"/>
      <c r="COD2" s="13"/>
      <c r="COE2" s="13"/>
      <c r="COF2" s="13"/>
      <c r="COG2" s="13"/>
      <c r="COH2" s="13"/>
      <c r="COI2" s="13"/>
      <c r="COJ2" s="13"/>
      <c r="COK2" s="13"/>
      <c r="COL2" s="13"/>
      <c r="COM2" s="13"/>
      <c r="CON2" s="13"/>
      <c r="COO2" s="13"/>
      <c r="COP2" s="13"/>
      <c r="COQ2" s="13"/>
      <c r="COR2" s="13"/>
      <c r="COS2" s="13"/>
      <c r="COT2" s="13"/>
      <c r="COU2" s="13"/>
      <c r="COV2" s="13"/>
      <c r="COW2" s="13"/>
      <c r="COX2" s="13"/>
      <c r="COY2" s="13"/>
      <c r="COZ2" s="13"/>
      <c r="CPA2" s="13"/>
      <c r="CPB2" s="13"/>
      <c r="CPC2" s="13"/>
      <c r="CPD2" s="13"/>
      <c r="CPE2" s="13"/>
      <c r="CPF2" s="13"/>
      <c r="CPG2" s="13"/>
      <c r="CPH2" s="13"/>
      <c r="CPI2" s="13"/>
      <c r="CPJ2" s="13"/>
      <c r="CPK2" s="13"/>
      <c r="CPL2" s="13"/>
      <c r="CPM2" s="13"/>
      <c r="CPN2" s="13"/>
      <c r="CPO2" s="13"/>
      <c r="CPP2" s="13"/>
      <c r="CPQ2" s="13"/>
      <c r="CPR2" s="13"/>
      <c r="CPS2" s="13"/>
      <c r="CPT2" s="13"/>
      <c r="CPU2" s="13"/>
      <c r="CPV2" s="13"/>
      <c r="CPW2" s="13"/>
      <c r="CPX2" s="13"/>
      <c r="CPY2" s="13"/>
      <c r="CPZ2" s="13"/>
      <c r="CQA2" s="13"/>
      <c r="CQB2" s="13"/>
      <c r="CQC2" s="13"/>
      <c r="CQD2" s="13"/>
      <c r="CQE2" s="13"/>
      <c r="CQF2" s="13"/>
      <c r="CQG2" s="13"/>
      <c r="CQH2" s="13"/>
      <c r="CQI2" s="13"/>
      <c r="CQJ2" s="13"/>
      <c r="CQK2" s="13"/>
      <c r="CQL2" s="13"/>
      <c r="CQM2" s="13"/>
      <c r="CQN2" s="13"/>
      <c r="CQO2" s="13"/>
      <c r="CQP2" s="13"/>
      <c r="CQQ2" s="13"/>
      <c r="CQR2" s="13"/>
      <c r="CQS2" s="13"/>
      <c r="CQT2" s="13"/>
      <c r="CQU2" s="13"/>
      <c r="CQV2" s="13"/>
      <c r="CQW2" s="13"/>
      <c r="CQX2" s="13"/>
      <c r="CQY2" s="13"/>
      <c r="CQZ2" s="13"/>
      <c r="CRA2" s="13"/>
      <c r="CRB2" s="13"/>
      <c r="CRC2" s="13"/>
      <c r="CRD2" s="13"/>
      <c r="CRE2" s="13"/>
      <c r="CRF2" s="13"/>
      <c r="CRG2" s="13"/>
      <c r="CRH2" s="13"/>
      <c r="CRI2" s="13"/>
      <c r="CRJ2" s="13"/>
      <c r="CRK2" s="13"/>
      <c r="CRL2" s="13"/>
      <c r="CRM2" s="13"/>
      <c r="CRN2" s="13"/>
      <c r="CRO2" s="13"/>
      <c r="CRP2" s="13"/>
      <c r="CRQ2" s="13"/>
      <c r="CRR2" s="13"/>
      <c r="CRS2" s="13"/>
      <c r="CRT2" s="13"/>
      <c r="CRU2" s="13"/>
      <c r="CRV2" s="13"/>
      <c r="CRW2" s="13"/>
      <c r="CRX2" s="13"/>
      <c r="CRY2" s="13"/>
      <c r="CRZ2" s="13"/>
      <c r="CSA2" s="13"/>
      <c r="CSB2" s="13"/>
      <c r="CSC2" s="13"/>
      <c r="CSD2" s="13"/>
      <c r="CSE2" s="13"/>
      <c r="CSF2" s="13"/>
      <c r="CSG2" s="13"/>
      <c r="CSH2" s="13"/>
      <c r="CSI2" s="13"/>
      <c r="CSJ2" s="13"/>
      <c r="CSK2" s="13"/>
      <c r="CSL2" s="13"/>
      <c r="CSM2" s="13"/>
      <c r="CSN2" s="13"/>
      <c r="CSO2" s="13"/>
      <c r="CSP2" s="13"/>
      <c r="CSQ2" s="13"/>
      <c r="CSR2" s="13"/>
      <c r="CSS2" s="13"/>
      <c r="CST2" s="13"/>
      <c r="CSU2" s="13"/>
      <c r="CSV2" s="13"/>
      <c r="CSW2" s="13"/>
      <c r="CSX2" s="13"/>
      <c r="CSY2" s="13"/>
      <c r="CSZ2" s="13"/>
      <c r="CTA2" s="13"/>
      <c r="CTB2" s="13"/>
      <c r="CTC2" s="13"/>
      <c r="CTD2" s="13"/>
      <c r="CTE2" s="13"/>
      <c r="CTF2" s="13"/>
      <c r="CTG2" s="13"/>
      <c r="CTH2" s="13"/>
      <c r="CTI2" s="13"/>
      <c r="CTJ2" s="13"/>
      <c r="CTK2" s="13"/>
      <c r="CTL2" s="13"/>
      <c r="CTM2" s="13"/>
      <c r="CTN2" s="13"/>
      <c r="CTO2" s="13"/>
      <c r="CTP2" s="13"/>
      <c r="CTQ2" s="13"/>
      <c r="CTR2" s="13"/>
      <c r="CTS2" s="13"/>
      <c r="CTT2" s="13"/>
      <c r="CTU2" s="13"/>
      <c r="CTV2" s="13"/>
      <c r="CTW2" s="13"/>
      <c r="CTX2" s="13"/>
      <c r="CTY2" s="13"/>
      <c r="CTZ2" s="13"/>
      <c r="CUA2" s="13"/>
      <c r="CUB2" s="13"/>
      <c r="CUC2" s="13"/>
      <c r="CUD2" s="13"/>
      <c r="CUE2" s="13"/>
      <c r="CUF2" s="13"/>
      <c r="CUG2" s="13"/>
      <c r="CUH2" s="13"/>
      <c r="CUI2" s="13"/>
      <c r="CUJ2" s="13"/>
      <c r="CUK2" s="13"/>
      <c r="CUL2" s="13"/>
      <c r="CUM2" s="13"/>
      <c r="CUN2" s="13"/>
      <c r="CUO2" s="13"/>
      <c r="CUP2" s="13"/>
      <c r="CUQ2" s="13"/>
      <c r="CUR2" s="13"/>
      <c r="CUS2" s="13"/>
      <c r="CUT2" s="13"/>
      <c r="CUU2" s="13"/>
      <c r="CUV2" s="13"/>
      <c r="CUW2" s="13"/>
      <c r="CUX2" s="13"/>
      <c r="CUY2" s="13"/>
      <c r="CUZ2" s="13"/>
      <c r="CVA2" s="13"/>
      <c r="CVB2" s="13"/>
      <c r="CVC2" s="13"/>
      <c r="CVD2" s="13"/>
      <c r="CVE2" s="13"/>
      <c r="CVF2" s="13"/>
      <c r="CVG2" s="13"/>
      <c r="CVH2" s="13"/>
      <c r="CVI2" s="13"/>
      <c r="CVJ2" s="13"/>
      <c r="CVK2" s="13"/>
      <c r="CVL2" s="13"/>
      <c r="CVM2" s="13"/>
      <c r="CVN2" s="13"/>
      <c r="CVO2" s="13"/>
      <c r="CVP2" s="13"/>
      <c r="CVQ2" s="13"/>
      <c r="CVR2" s="13"/>
      <c r="CVS2" s="13"/>
      <c r="CVT2" s="13"/>
      <c r="CVU2" s="13"/>
      <c r="CVV2" s="13"/>
      <c r="CVW2" s="13"/>
      <c r="CVX2" s="13"/>
      <c r="CVY2" s="13"/>
      <c r="CVZ2" s="13"/>
      <c r="CWA2" s="13"/>
      <c r="CWB2" s="13"/>
      <c r="CWC2" s="13"/>
      <c r="CWD2" s="13"/>
      <c r="CWE2" s="13"/>
      <c r="CWF2" s="13"/>
      <c r="CWG2" s="13"/>
      <c r="CWH2" s="13"/>
      <c r="CWI2" s="13"/>
      <c r="CWJ2" s="13"/>
      <c r="CWK2" s="13"/>
      <c r="CWL2" s="13"/>
      <c r="CWM2" s="13"/>
      <c r="CWN2" s="13"/>
      <c r="CWO2" s="13"/>
      <c r="CWP2" s="13"/>
      <c r="CWQ2" s="13"/>
      <c r="CWR2" s="13"/>
      <c r="CWS2" s="13"/>
      <c r="CWT2" s="13"/>
      <c r="CWU2" s="13"/>
      <c r="CWV2" s="13"/>
      <c r="CWW2" s="13"/>
      <c r="CWX2" s="13"/>
      <c r="CWY2" s="13"/>
      <c r="CWZ2" s="13"/>
      <c r="CXA2" s="13"/>
      <c r="CXB2" s="13"/>
      <c r="CXC2" s="13"/>
      <c r="CXD2" s="13"/>
      <c r="CXE2" s="13"/>
      <c r="CXF2" s="13"/>
      <c r="CXG2" s="13"/>
      <c r="CXH2" s="13"/>
      <c r="CXI2" s="13"/>
      <c r="CXJ2" s="13"/>
      <c r="CXK2" s="13"/>
      <c r="CXL2" s="13"/>
      <c r="CXM2" s="13"/>
      <c r="CXN2" s="13"/>
      <c r="CXO2" s="13"/>
      <c r="CXP2" s="13"/>
      <c r="CXQ2" s="13"/>
      <c r="CXR2" s="13"/>
      <c r="CXS2" s="13"/>
      <c r="CXT2" s="13"/>
      <c r="CXU2" s="13"/>
      <c r="CXV2" s="13"/>
      <c r="CXW2" s="13"/>
      <c r="CXX2" s="13"/>
      <c r="CXY2" s="13"/>
      <c r="CXZ2" s="13"/>
      <c r="CYA2" s="13"/>
      <c r="CYB2" s="13"/>
      <c r="CYC2" s="13"/>
      <c r="CYD2" s="13"/>
      <c r="CYE2" s="13"/>
      <c r="CYF2" s="13"/>
      <c r="CYG2" s="13"/>
      <c r="CYH2" s="13"/>
      <c r="CYI2" s="13"/>
      <c r="CYJ2" s="13"/>
      <c r="CYK2" s="13"/>
      <c r="CYL2" s="13"/>
      <c r="CYM2" s="13"/>
      <c r="CYN2" s="13"/>
      <c r="CYO2" s="13"/>
      <c r="CYP2" s="13"/>
      <c r="CYQ2" s="13"/>
      <c r="CYR2" s="13"/>
      <c r="CYS2" s="13"/>
      <c r="CYT2" s="13"/>
      <c r="CYU2" s="13"/>
      <c r="CYV2" s="13"/>
      <c r="CYW2" s="13"/>
      <c r="CYX2" s="13"/>
      <c r="CYY2" s="13"/>
      <c r="CYZ2" s="13"/>
      <c r="CZA2" s="13"/>
      <c r="CZB2" s="13"/>
      <c r="CZC2" s="13"/>
      <c r="CZD2" s="13"/>
      <c r="CZE2" s="13"/>
      <c r="CZF2" s="13"/>
      <c r="CZG2" s="13"/>
      <c r="CZH2" s="13"/>
      <c r="CZI2" s="13"/>
      <c r="CZJ2" s="13"/>
      <c r="CZK2" s="13"/>
      <c r="CZL2" s="13"/>
      <c r="CZM2" s="13"/>
      <c r="CZN2" s="13"/>
      <c r="CZO2" s="13"/>
      <c r="CZP2" s="13"/>
      <c r="CZQ2" s="13"/>
      <c r="CZR2" s="13"/>
      <c r="CZS2" s="13"/>
      <c r="CZT2" s="13"/>
      <c r="CZU2" s="13"/>
      <c r="CZV2" s="13"/>
      <c r="CZW2" s="13"/>
      <c r="CZX2" s="13"/>
      <c r="CZY2" s="13"/>
      <c r="CZZ2" s="13"/>
      <c r="DAA2" s="13"/>
      <c r="DAB2" s="13"/>
      <c r="DAC2" s="13"/>
      <c r="DAD2" s="13"/>
      <c r="DAE2" s="13"/>
      <c r="DAF2" s="13"/>
      <c r="DAG2" s="13"/>
      <c r="DAH2" s="13"/>
      <c r="DAI2" s="13"/>
      <c r="DAJ2" s="13"/>
      <c r="DAK2" s="13"/>
      <c r="DAL2" s="13"/>
      <c r="DAM2" s="13"/>
      <c r="DAN2" s="13"/>
      <c r="DAO2" s="13"/>
      <c r="DAP2" s="13"/>
      <c r="DAQ2" s="13"/>
      <c r="DAR2" s="13"/>
      <c r="DAS2" s="13"/>
      <c r="DAT2" s="13"/>
      <c r="DAU2" s="13"/>
      <c r="DAV2" s="13"/>
      <c r="DAW2" s="13"/>
      <c r="DAX2" s="13"/>
      <c r="DAY2" s="13"/>
      <c r="DAZ2" s="13"/>
      <c r="DBA2" s="13"/>
      <c r="DBB2" s="13"/>
      <c r="DBC2" s="13"/>
      <c r="DBD2" s="13"/>
      <c r="DBE2" s="13"/>
      <c r="DBF2" s="13"/>
      <c r="DBG2" s="13"/>
      <c r="DBH2" s="13"/>
      <c r="DBI2" s="13"/>
      <c r="DBJ2" s="13"/>
      <c r="DBK2" s="13"/>
      <c r="DBL2" s="13"/>
      <c r="DBM2" s="13"/>
      <c r="DBN2" s="13"/>
      <c r="DBO2" s="13"/>
      <c r="DBP2" s="13"/>
      <c r="DBQ2" s="13"/>
      <c r="DBR2" s="13"/>
      <c r="DBS2" s="13"/>
      <c r="DBT2" s="13"/>
      <c r="DBU2" s="13"/>
      <c r="DBV2" s="13"/>
      <c r="DBW2" s="13"/>
      <c r="DBX2" s="13"/>
      <c r="DBY2" s="13"/>
      <c r="DBZ2" s="13"/>
      <c r="DCA2" s="13"/>
      <c r="DCB2" s="13"/>
      <c r="DCC2" s="13"/>
      <c r="DCD2" s="13"/>
      <c r="DCE2" s="13"/>
      <c r="DCF2" s="13"/>
      <c r="DCG2" s="13"/>
      <c r="DCH2" s="13"/>
      <c r="DCI2" s="13"/>
      <c r="DCJ2" s="13"/>
      <c r="DCK2" s="13"/>
      <c r="DCL2" s="13"/>
      <c r="DCM2" s="13"/>
      <c r="DCN2" s="13"/>
      <c r="DCO2" s="13"/>
      <c r="DCP2" s="13"/>
      <c r="DCQ2" s="13"/>
      <c r="DCR2" s="13"/>
      <c r="DCS2" s="13"/>
      <c r="DCT2" s="13"/>
      <c r="DCU2" s="13"/>
      <c r="DCV2" s="13"/>
      <c r="DCW2" s="13"/>
      <c r="DCX2" s="13"/>
      <c r="DCY2" s="13"/>
      <c r="DCZ2" s="13"/>
      <c r="DDA2" s="13"/>
      <c r="DDB2" s="13"/>
      <c r="DDC2" s="13"/>
      <c r="DDD2" s="13"/>
      <c r="DDE2" s="13"/>
      <c r="DDF2" s="13"/>
      <c r="DDG2" s="13"/>
      <c r="DDH2" s="13"/>
      <c r="DDI2" s="13"/>
      <c r="DDJ2" s="13"/>
      <c r="DDK2" s="13"/>
      <c r="DDL2" s="13"/>
      <c r="DDM2" s="13"/>
      <c r="DDN2" s="13"/>
      <c r="DDO2" s="13"/>
      <c r="DDP2" s="13"/>
      <c r="DDQ2" s="13"/>
      <c r="DDR2" s="13"/>
      <c r="DDS2" s="13"/>
      <c r="DDT2" s="13"/>
      <c r="DDU2" s="13"/>
      <c r="DDV2" s="13"/>
      <c r="DDW2" s="13"/>
      <c r="DDX2" s="13"/>
      <c r="DDY2" s="13"/>
      <c r="DDZ2" s="13"/>
      <c r="DEA2" s="13"/>
      <c r="DEB2" s="13"/>
      <c r="DEC2" s="13"/>
      <c r="DED2" s="13"/>
      <c r="DEE2" s="13"/>
      <c r="DEF2" s="13"/>
      <c r="DEG2" s="13"/>
      <c r="DEH2" s="13"/>
      <c r="DEI2" s="13"/>
      <c r="DEJ2" s="13"/>
      <c r="DEK2" s="13"/>
      <c r="DEL2" s="13"/>
      <c r="DEM2" s="13"/>
      <c r="DEN2" s="13"/>
      <c r="DEO2" s="13"/>
      <c r="DEP2" s="13"/>
      <c r="DEQ2" s="13"/>
      <c r="DER2" s="13"/>
      <c r="DES2" s="13"/>
      <c r="DET2" s="13"/>
      <c r="DEU2" s="13"/>
      <c r="DEV2" s="13"/>
      <c r="DEW2" s="13"/>
      <c r="DEX2" s="13"/>
      <c r="DEY2" s="13"/>
      <c r="DEZ2" s="13"/>
      <c r="DFA2" s="13"/>
      <c r="DFB2" s="13"/>
      <c r="DFC2" s="13"/>
      <c r="DFD2" s="13"/>
      <c r="DFE2" s="13"/>
      <c r="DFF2" s="13"/>
      <c r="DFG2" s="13"/>
      <c r="DFH2" s="13"/>
      <c r="DFI2" s="13"/>
      <c r="DFJ2" s="13"/>
      <c r="DFK2" s="13"/>
      <c r="DFL2" s="13"/>
      <c r="DFM2" s="13"/>
      <c r="DFN2" s="13"/>
      <c r="DFO2" s="13"/>
      <c r="DFP2" s="13"/>
      <c r="DFQ2" s="13"/>
      <c r="DFR2" s="13"/>
      <c r="DFS2" s="13"/>
      <c r="DFT2" s="13"/>
      <c r="DFU2" s="13"/>
      <c r="DFV2" s="13"/>
      <c r="DFW2" s="13"/>
      <c r="DFX2" s="13"/>
      <c r="DFY2" s="13"/>
      <c r="DFZ2" s="13"/>
      <c r="DGA2" s="13"/>
      <c r="DGB2" s="13"/>
      <c r="DGC2" s="13"/>
      <c r="DGD2" s="13"/>
      <c r="DGE2" s="13"/>
      <c r="DGF2" s="13"/>
      <c r="DGG2" s="13"/>
      <c r="DGH2" s="13"/>
      <c r="DGI2" s="13"/>
      <c r="DGJ2" s="13"/>
      <c r="DGK2" s="13"/>
      <c r="DGL2" s="13"/>
      <c r="DGM2" s="13"/>
      <c r="DGN2" s="13"/>
      <c r="DGO2" s="13"/>
      <c r="DGP2" s="13"/>
      <c r="DGQ2" s="13"/>
      <c r="DGR2" s="13"/>
      <c r="DGS2" s="13"/>
      <c r="DGT2" s="13"/>
      <c r="DGU2" s="13"/>
      <c r="DGV2" s="13"/>
      <c r="DGW2" s="13"/>
      <c r="DGX2" s="13"/>
      <c r="DGY2" s="13"/>
      <c r="DGZ2" s="13"/>
      <c r="DHA2" s="13"/>
      <c r="DHB2" s="13"/>
      <c r="DHC2" s="13"/>
      <c r="DHD2" s="13"/>
      <c r="DHE2" s="13"/>
      <c r="DHF2" s="13"/>
      <c r="DHG2" s="13"/>
      <c r="DHH2" s="13"/>
      <c r="DHI2" s="13"/>
      <c r="DHJ2" s="13"/>
      <c r="DHK2" s="13"/>
      <c r="DHL2" s="13"/>
      <c r="DHM2" s="13"/>
      <c r="DHN2" s="13"/>
      <c r="DHO2" s="13"/>
      <c r="DHP2" s="13"/>
      <c r="DHQ2" s="13"/>
      <c r="DHR2" s="13"/>
      <c r="DHS2" s="13"/>
      <c r="DHT2" s="13"/>
      <c r="DHU2" s="13"/>
      <c r="DHV2" s="13"/>
      <c r="DHW2" s="13"/>
      <c r="DHX2" s="13"/>
      <c r="DHY2" s="13"/>
      <c r="DHZ2" s="13"/>
      <c r="DIA2" s="13"/>
      <c r="DIB2" s="13"/>
      <c r="DIC2" s="13"/>
      <c r="DID2" s="13"/>
      <c r="DIE2" s="13"/>
      <c r="DIF2" s="13"/>
      <c r="DIG2" s="13"/>
      <c r="DIH2" s="13"/>
      <c r="DII2" s="13"/>
      <c r="DIJ2" s="13"/>
      <c r="DIK2" s="13"/>
      <c r="DIL2" s="13"/>
      <c r="DIM2" s="13"/>
      <c r="DIN2" s="13"/>
      <c r="DIO2" s="13"/>
      <c r="DIP2" s="13"/>
      <c r="DIQ2" s="13"/>
      <c r="DIR2" s="13"/>
      <c r="DIS2" s="13"/>
      <c r="DIT2" s="13"/>
      <c r="DIU2" s="13"/>
      <c r="DIV2" s="13"/>
      <c r="DIW2" s="13"/>
      <c r="DIX2" s="13"/>
      <c r="DIY2" s="13"/>
      <c r="DIZ2" s="13"/>
      <c r="DJA2" s="13"/>
      <c r="DJB2" s="13"/>
      <c r="DJC2" s="13"/>
      <c r="DJD2" s="13"/>
      <c r="DJE2" s="13"/>
      <c r="DJF2" s="13"/>
      <c r="DJG2" s="13"/>
      <c r="DJH2" s="13"/>
      <c r="DJI2" s="13"/>
      <c r="DJJ2" s="13"/>
      <c r="DJK2" s="13"/>
      <c r="DJL2" s="13"/>
      <c r="DJM2" s="13"/>
      <c r="DJN2" s="13"/>
      <c r="DJO2" s="13"/>
      <c r="DJP2" s="13"/>
      <c r="DJQ2" s="13"/>
      <c r="DJR2" s="13"/>
      <c r="DJS2" s="13"/>
      <c r="DJT2" s="13"/>
      <c r="DJU2" s="13"/>
      <c r="DJV2" s="13"/>
      <c r="DJW2" s="13"/>
      <c r="DJX2" s="13"/>
      <c r="DJY2" s="13"/>
      <c r="DJZ2" s="13"/>
      <c r="DKA2" s="13"/>
      <c r="DKB2" s="13"/>
      <c r="DKC2" s="13"/>
      <c r="DKD2" s="13"/>
      <c r="DKE2" s="13"/>
      <c r="DKF2" s="13"/>
      <c r="DKG2" s="13"/>
      <c r="DKH2" s="13"/>
      <c r="DKI2" s="13"/>
      <c r="DKJ2" s="13"/>
      <c r="DKK2" s="13"/>
      <c r="DKL2" s="13"/>
      <c r="DKM2" s="13"/>
      <c r="DKN2" s="13"/>
      <c r="DKO2" s="13"/>
      <c r="DKP2" s="13"/>
      <c r="DKQ2" s="13"/>
      <c r="DKR2" s="13"/>
      <c r="DKS2" s="13"/>
      <c r="DKT2" s="13"/>
      <c r="DKU2" s="13"/>
      <c r="DKV2" s="13"/>
      <c r="DKW2" s="13"/>
      <c r="DKX2" s="13"/>
      <c r="DKY2" s="13"/>
      <c r="DKZ2" s="13"/>
      <c r="DLA2" s="13"/>
      <c r="DLB2" s="13"/>
      <c r="DLC2" s="13"/>
      <c r="DLD2" s="13"/>
      <c r="DLE2" s="13"/>
      <c r="DLF2" s="13"/>
      <c r="DLG2" s="13"/>
      <c r="DLH2" s="13"/>
      <c r="DLI2" s="13"/>
      <c r="DLJ2" s="13"/>
      <c r="DLK2" s="13"/>
      <c r="DLL2" s="13"/>
      <c r="DLM2" s="13"/>
      <c r="DLN2" s="13"/>
      <c r="DLO2" s="13"/>
      <c r="DLP2" s="13"/>
      <c r="DLQ2" s="13"/>
      <c r="DLR2" s="13"/>
      <c r="DLS2" s="13"/>
      <c r="DLT2" s="13"/>
      <c r="DLU2" s="13"/>
      <c r="DLV2" s="13"/>
      <c r="DLW2" s="13"/>
      <c r="DLX2" s="13"/>
      <c r="DLY2" s="13"/>
      <c r="DLZ2" s="13"/>
      <c r="DMA2" s="13"/>
      <c r="DMB2" s="13"/>
      <c r="DMC2" s="13"/>
      <c r="DMD2" s="13"/>
      <c r="DME2" s="13"/>
      <c r="DMF2" s="13"/>
      <c r="DMG2" s="13"/>
      <c r="DMH2" s="13"/>
      <c r="DMI2" s="13"/>
      <c r="DMJ2" s="13"/>
      <c r="DMK2" s="13"/>
      <c r="DML2" s="13"/>
      <c r="DMM2" s="13"/>
      <c r="DMN2" s="13"/>
      <c r="DMO2" s="13"/>
      <c r="DMP2" s="13"/>
      <c r="DMQ2" s="13"/>
      <c r="DMR2" s="13"/>
      <c r="DMS2" s="13"/>
      <c r="DMT2" s="13"/>
      <c r="DMU2" s="13"/>
      <c r="DMV2" s="13"/>
      <c r="DMW2" s="13"/>
      <c r="DMX2" s="13"/>
      <c r="DMY2" s="13"/>
      <c r="DMZ2" s="13"/>
      <c r="DNA2" s="13"/>
      <c r="DNB2" s="13"/>
      <c r="DNC2" s="13"/>
      <c r="DND2" s="13"/>
      <c r="DNE2" s="13"/>
      <c r="DNF2" s="13"/>
      <c r="DNG2" s="13"/>
      <c r="DNH2" s="13"/>
      <c r="DNI2" s="13"/>
      <c r="DNJ2" s="13"/>
      <c r="DNK2" s="13"/>
      <c r="DNL2" s="13"/>
      <c r="DNM2" s="13"/>
      <c r="DNN2" s="13"/>
      <c r="DNO2" s="13"/>
      <c r="DNP2" s="13"/>
      <c r="DNQ2" s="13"/>
      <c r="DNR2" s="13"/>
      <c r="DNS2" s="13"/>
      <c r="DNT2" s="13"/>
      <c r="DNU2" s="13"/>
      <c r="DNV2" s="13"/>
      <c r="DNW2" s="13"/>
      <c r="DNX2" s="13"/>
      <c r="DNY2" s="13"/>
      <c r="DNZ2" s="13"/>
      <c r="DOA2" s="13"/>
      <c r="DOB2" s="13"/>
      <c r="DOC2" s="13"/>
      <c r="DOD2" s="13"/>
      <c r="DOE2" s="13"/>
      <c r="DOF2" s="13"/>
      <c r="DOG2" s="13"/>
      <c r="DOH2" s="13"/>
      <c r="DOI2" s="13"/>
      <c r="DOJ2" s="13"/>
      <c r="DOK2" s="13"/>
      <c r="DOL2" s="13"/>
      <c r="DOM2" s="13"/>
      <c r="DON2" s="13"/>
      <c r="DOO2" s="13"/>
      <c r="DOP2" s="13"/>
      <c r="DOQ2" s="13"/>
      <c r="DOR2" s="13"/>
      <c r="DOS2" s="13"/>
      <c r="DOT2" s="13"/>
      <c r="DOU2" s="13"/>
      <c r="DOV2" s="13"/>
      <c r="DOW2" s="13"/>
      <c r="DOX2" s="13"/>
      <c r="DOY2" s="13"/>
      <c r="DOZ2" s="13"/>
      <c r="DPA2" s="13"/>
      <c r="DPB2" s="13"/>
      <c r="DPC2" s="13"/>
      <c r="DPD2" s="13"/>
      <c r="DPE2" s="13"/>
      <c r="DPF2" s="13"/>
      <c r="DPG2" s="13"/>
      <c r="DPH2" s="13"/>
      <c r="DPI2" s="13"/>
      <c r="DPJ2" s="13"/>
      <c r="DPK2" s="13"/>
      <c r="DPL2" s="13"/>
      <c r="DPM2" s="13"/>
      <c r="DPN2" s="13"/>
      <c r="DPO2" s="13"/>
      <c r="DPP2" s="13"/>
      <c r="DPQ2" s="13"/>
      <c r="DPR2" s="13"/>
      <c r="DPS2" s="13"/>
      <c r="DPT2" s="13"/>
      <c r="DPU2" s="13"/>
      <c r="DPV2" s="13"/>
      <c r="DPW2" s="13"/>
      <c r="DPX2" s="13"/>
      <c r="DPY2" s="13"/>
      <c r="DPZ2" s="13"/>
      <c r="DQA2" s="13"/>
      <c r="DQB2" s="13"/>
      <c r="DQC2" s="13"/>
      <c r="DQD2" s="13"/>
      <c r="DQE2" s="13"/>
      <c r="DQF2" s="13"/>
      <c r="DQG2" s="13"/>
      <c r="DQH2" s="13"/>
      <c r="DQI2" s="13"/>
      <c r="DQJ2" s="13"/>
      <c r="DQK2" s="13"/>
      <c r="DQL2" s="13"/>
      <c r="DQM2" s="13"/>
      <c r="DQN2" s="13"/>
      <c r="DQO2" s="13"/>
      <c r="DQP2" s="13"/>
      <c r="DQQ2" s="13"/>
      <c r="DQR2" s="13"/>
      <c r="DQS2" s="13"/>
      <c r="DQT2" s="13"/>
      <c r="DQU2" s="13"/>
      <c r="DQV2" s="13"/>
      <c r="DQW2" s="13"/>
      <c r="DQX2" s="13"/>
      <c r="DQY2" s="13"/>
      <c r="DQZ2" s="13"/>
      <c r="DRA2" s="13"/>
      <c r="DRB2" s="13"/>
      <c r="DRC2" s="13"/>
      <c r="DRD2" s="13"/>
      <c r="DRE2" s="13"/>
      <c r="DRF2" s="13"/>
      <c r="DRG2" s="13"/>
      <c r="DRH2" s="13"/>
      <c r="DRI2" s="13"/>
      <c r="DRJ2" s="13"/>
      <c r="DRK2" s="13"/>
      <c r="DRL2" s="13"/>
      <c r="DRM2" s="13"/>
      <c r="DRN2" s="13"/>
      <c r="DRO2" s="13"/>
      <c r="DRP2" s="13"/>
      <c r="DRQ2" s="13"/>
      <c r="DRR2" s="13"/>
      <c r="DRS2" s="13"/>
      <c r="DRT2" s="13"/>
      <c r="DRU2" s="13"/>
      <c r="DRV2" s="13"/>
      <c r="DRW2" s="13"/>
      <c r="DRX2" s="13"/>
      <c r="DRY2" s="13"/>
      <c r="DRZ2" s="13"/>
      <c r="DSA2" s="13"/>
      <c r="DSB2" s="13"/>
      <c r="DSC2" s="13"/>
      <c r="DSD2" s="13"/>
      <c r="DSE2" s="13"/>
      <c r="DSF2" s="13"/>
      <c r="DSG2" s="13"/>
      <c r="DSH2" s="13"/>
      <c r="DSI2" s="13"/>
      <c r="DSJ2" s="13"/>
      <c r="DSK2" s="13"/>
      <c r="DSL2" s="13"/>
      <c r="DSM2" s="13"/>
      <c r="DSN2" s="13"/>
      <c r="DSO2" s="13"/>
      <c r="DSP2" s="13"/>
      <c r="DSQ2" s="13"/>
      <c r="DSR2" s="13"/>
      <c r="DSS2" s="13"/>
      <c r="DST2" s="13"/>
      <c r="DSU2" s="13"/>
      <c r="DSV2" s="13"/>
      <c r="DSW2" s="13"/>
      <c r="DSX2" s="13"/>
      <c r="DSY2" s="13"/>
      <c r="DSZ2" s="13"/>
      <c r="DTA2" s="13"/>
      <c r="DTB2" s="13"/>
      <c r="DTC2" s="13"/>
      <c r="DTD2" s="13"/>
      <c r="DTE2" s="13"/>
      <c r="DTF2" s="13"/>
      <c r="DTG2" s="13"/>
      <c r="DTH2" s="13"/>
      <c r="DTI2" s="13"/>
      <c r="DTJ2" s="13"/>
      <c r="DTK2" s="13"/>
      <c r="DTL2" s="13"/>
      <c r="DTM2" s="13"/>
      <c r="DTN2" s="13"/>
      <c r="DTO2" s="13"/>
      <c r="DTP2" s="13"/>
      <c r="DTQ2" s="13"/>
      <c r="DTR2" s="13"/>
      <c r="DTS2" s="13"/>
      <c r="DTT2" s="13"/>
      <c r="DTU2" s="13"/>
      <c r="DTV2" s="13"/>
      <c r="DTW2" s="13"/>
      <c r="DTX2" s="13"/>
      <c r="DTY2" s="13"/>
      <c r="DTZ2" s="13"/>
      <c r="DUA2" s="13"/>
      <c r="DUB2" s="13"/>
      <c r="DUC2" s="13"/>
      <c r="DUD2" s="13"/>
      <c r="DUE2" s="13"/>
      <c r="DUF2" s="13"/>
      <c r="DUG2" s="13"/>
      <c r="DUH2" s="13"/>
      <c r="DUI2" s="13"/>
      <c r="DUJ2" s="13"/>
      <c r="DUK2" s="13"/>
      <c r="DUL2" s="13"/>
      <c r="DUM2" s="13"/>
      <c r="DUN2" s="13"/>
      <c r="DUO2" s="13"/>
      <c r="DUP2" s="13"/>
      <c r="DUQ2" s="13"/>
      <c r="DUR2" s="13"/>
      <c r="DUS2" s="13"/>
      <c r="DUT2" s="13"/>
      <c r="DUU2" s="13"/>
      <c r="DUV2" s="13"/>
      <c r="DUW2" s="13"/>
      <c r="DUX2" s="13"/>
      <c r="DUY2" s="13"/>
      <c r="DUZ2" s="13"/>
      <c r="DVA2" s="13"/>
      <c r="DVB2" s="13"/>
      <c r="DVC2" s="13"/>
      <c r="DVD2" s="13"/>
      <c r="DVE2" s="13"/>
      <c r="DVF2" s="13"/>
      <c r="DVG2" s="13"/>
      <c r="DVH2" s="13"/>
      <c r="DVI2" s="13"/>
      <c r="DVJ2" s="13"/>
      <c r="DVK2" s="13"/>
      <c r="DVL2" s="13"/>
      <c r="DVM2" s="13"/>
      <c r="DVN2" s="13"/>
      <c r="DVO2" s="13"/>
      <c r="DVP2" s="13"/>
      <c r="DVQ2" s="13"/>
      <c r="DVR2" s="13"/>
      <c r="DVS2" s="13"/>
      <c r="DVT2" s="13"/>
      <c r="DVU2" s="13"/>
      <c r="DVV2" s="13"/>
      <c r="DVW2" s="13"/>
      <c r="DVX2" s="13"/>
      <c r="DVY2" s="13"/>
      <c r="DVZ2" s="13"/>
      <c r="DWA2" s="13"/>
      <c r="DWB2" s="13"/>
      <c r="DWC2" s="13"/>
      <c r="DWD2" s="13"/>
      <c r="DWE2" s="13"/>
      <c r="DWF2" s="13"/>
      <c r="DWG2" s="13"/>
      <c r="DWH2" s="13"/>
      <c r="DWI2" s="13"/>
      <c r="DWJ2" s="13"/>
      <c r="DWK2" s="13"/>
      <c r="DWL2" s="13"/>
      <c r="DWM2" s="13"/>
      <c r="DWN2" s="13"/>
      <c r="DWO2" s="13"/>
      <c r="DWP2" s="13"/>
      <c r="DWQ2" s="13"/>
      <c r="DWR2" s="13"/>
      <c r="DWS2" s="13"/>
      <c r="DWT2" s="13"/>
      <c r="DWU2" s="13"/>
      <c r="DWV2" s="13"/>
      <c r="DWW2" s="13"/>
      <c r="DWX2" s="13"/>
      <c r="DWY2" s="13"/>
      <c r="DWZ2" s="13"/>
      <c r="DXA2" s="13"/>
      <c r="DXB2" s="13"/>
      <c r="DXC2" s="13"/>
      <c r="DXD2" s="13"/>
      <c r="DXE2" s="13"/>
      <c r="DXF2" s="13"/>
      <c r="DXG2" s="13"/>
      <c r="DXH2" s="13"/>
      <c r="DXI2" s="13"/>
      <c r="DXJ2" s="13"/>
      <c r="DXK2" s="13"/>
      <c r="DXL2" s="13"/>
      <c r="DXM2" s="13"/>
      <c r="DXN2" s="13"/>
      <c r="DXO2" s="13"/>
      <c r="DXP2" s="13"/>
      <c r="DXQ2" s="13"/>
      <c r="DXR2" s="13"/>
      <c r="DXS2" s="13"/>
      <c r="DXT2" s="13"/>
      <c r="DXU2" s="13"/>
      <c r="DXV2" s="13"/>
      <c r="DXW2" s="13"/>
      <c r="DXX2" s="13"/>
      <c r="DXY2" s="13"/>
      <c r="DXZ2" s="13"/>
      <c r="DYA2" s="13"/>
      <c r="DYB2" s="13"/>
      <c r="DYC2" s="13"/>
      <c r="DYD2" s="13"/>
      <c r="DYE2" s="13"/>
      <c r="DYF2" s="13"/>
      <c r="DYG2" s="13"/>
      <c r="DYH2" s="13"/>
      <c r="DYI2" s="13"/>
      <c r="DYJ2" s="13"/>
      <c r="DYK2" s="13"/>
      <c r="DYL2" s="13"/>
      <c r="DYM2" s="13"/>
      <c r="DYN2" s="13"/>
      <c r="DYO2" s="13"/>
      <c r="DYP2" s="13"/>
      <c r="DYQ2" s="13"/>
      <c r="DYR2" s="13"/>
      <c r="DYS2" s="13"/>
      <c r="DYT2" s="13"/>
      <c r="DYU2" s="13"/>
      <c r="DYV2" s="13"/>
      <c r="DYW2" s="13"/>
      <c r="DYX2" s="13"/>
      <c r="DYY2" s="13"/>
      <c r="DYZ2" s="13"/>
      <c r="DZA2" s="13"/>
      <c r="DZB2" s="13"/>
      <c r="DZC2" s="13"/>
      <c r="DZD2" s="13"/>
      <c r="DZE2" s="13"/>
      <c r="DZF2" s="13"/>
      <c r="DZG2" s="13"/>
      <c r="DZH2" s="13"/>
      <c r="DZI2" s="13"/>
      <c r="DZJ2" s="13"/>
      <c r="DZK2" s="13"/>
      <c r="DZL2" s="13"/>
      <c r="DZM2" s="13"/>
      <c r="DZN2" s="13"/>
      <c r="DZO2" s="13"/>
      <c r="DZP2" s="13"/>
      <c r="DZQ2" s="13"/>
      <c r="DZR2" s="13"/>
      <c r="DZS2" s="13"/>
      <c r="DZT2" s="13"/>
      <c r="DZU2" s="13"/>
      <c r="DZV2" s="13"/>
      <c r="DZW2" s="13"/>
      <c r="DZX2" s="13"/>
      <c r="DZY2" s="13"/>
      <c r="DZZ2" s="13"/>
      <c r="EAA2" s="13"/>
      <c r="EAB2" s="13"/>
      <c r="EAC2" s="13"/>
      <c r="EAD2" s="13"/>
      <c r="EAE2" s="13"/>
      <c r="EAF2" s="13"/>
      <c r="EAG2" s="13"/>
      <c r="EAH2" s="13"/>
      <c r="EAI2" s="13"/>
      <c r="EAJ2" s="13"/>
      <c r="EAK2" s="13"/>
      <c r="EAL2" s="13"/>
      <c r="EAM2" s="13"/>
      <c r="EAN2" s="13"/>
      <c r="EAO2" s="13"/>
      <c r="EAP2" s="13"/>
      <c r="EAQ2" s="13"/>
      <c r="EAR2" s="13"/>
      <c r="EAS2" s="13"/>
      <c r="EAT2" s="13"/>
      <c r="EAU2" s="13"/>
      <c r="EAV2" s="13"/>
      <c r="EAW2" s="13"/>
      <c r="EAX2" s="13"/>
      <c r="EAY2" s="13"/>
      <c r="EAZ2" s="13"/>
      <c r="EBA2" s="13"/>
      <c r="EBB2" s="13"/>
      <c r="EBC2" s="13"/>
      <c r="EBD2" s="13"/>
      <c r="EBE2" s="13"/>
      <c r="EBF2" s="13"/>
      <c r="EBG2" s="13"/>
      <c r="EBH2" s="13"/>
      <c r="EBI2" s="13"/>
      <c r="EBJ2" s="13"/>
      <c r="EBK2" s="13"/>
      <c r="EBL2" s="13"/>
      <c r="EBM2" s="13"/>
      <c r="EBN2" s="13"/>
      <c r="EBO2" s="13"/>
      <c r="EBP2" s="13"/>
      <c r="EBQ2" s="13"/>
      <c r="EBR2" s="13"/>
      <c r="EBS2" s="13"/>
      <c r="EBT2" s="13"/>
      <c r="EBU2" s="13"/>
      <c r="EBV2" s="13"/>
      <c r="EBW2" s="13"/>
      <c r="EBX2" s="13"/>
      <c r="EBY2" s="13"/>
      <c r="EBZ2" s="13"/>
      <c r="ECA2" s="13"/>
      <c r="ECB2" s="13"/>
      <c r="ECC2" s="13"/>
      <c r="ECD2" s="13"/>
      <c r="ECE2" s="13"/>
      <c r="ECF2" s="13"/>
      <c r="ECG2" s="13"/>
      <c r="ECH2" s="13"/>
      <c r="ECI2" s="13"/>
      <c r="ECJ2" s="13"/>
      <c r="ECK2" s="13"/>
      <c r="ECL2" s="13"/>
      <c r="ECM2" s="13"/>
      <c r="ECN2" s="13"/>
      <c r="ECO2" s="13"/>
      <c r="ECP2" s="13"/>
      <c r="ECQ2" s="13"/>
      <c r="ECR2" s="13"/>
      <c r="ECS2" s="13"/>
      <c r="ECT2" s="13"/>
      <c r="ECU2" s="13"/>
      <c r="ECV2" s="13"/>
      <c r="ECW2" s="13"/>
      <c r="ECX2" s="13"/>
      <c r="ECY2" s="13"/>
      <c r="ECZ2" s="13"/>
      <c r="EDA2" s="13"/>
      <c r="EDB2" s="13"/>
      <c r="EDC2" s="13"/>
      <c r="EDD2" s="13"/>
      <c r="EDE2" s="13"/>
      <c r="EDF2" s="13"/>
      <c r="EDG2" s="13"/>
      <c r="EDH2" s="13"/>
      <c r="EDI2" s="13"/>
      <c r="EDJ2" s="13"/>
      <c r="EDK2" s="13"/>
      <c r="EDL2" s="13"/>
      <c r="EDM2" s="13"/>
      <c r="EDN2" s="13"/>
      <c r="EDO2" s="13"/>
      <c r="EDP2" s="13"/>
      <c r="EDQ2" s="13"/>
      <c r="EDR2" s="13"/>
      <c r="EDS2" s="13"/>
      <c r="EDT2" s="13"/>
      <c r="EDU2" s="13"/>
      <c r="EDV2" s="13"/>
      <c r="EDW2" s="13"/>
      <c r="EDX2" s="13"/>
      <c r="EDY2" s="13"/>
      <c r="EDZ2" s="13"/>
      <c r="EEA2" s="13"/>
      <c r="EEB2" s="13"/>
      <c r="EEC2" s="13"/>
      <c r="EED2" s="13"/>
      <c r="EEE2" s="13"/>
      <c r="EEF2" s="13"/>
      <c r="EEG2" s="13"/>
      <c r="EEH2" s="13"/>
      <c r="EEI2" s="13"/>
      <c r="EEJ2" s="13"/>
      <c r="EEK2" s="13"/>
      <c r="EEL2" s="13"/>
      <c r="EEM2" s="13"/>
      <c r="EEN2" s="13"/>
      <c r="EEO2" s="13"/>
      <c r="EEP2" s="13"/>
      <c r="EEQ2" s="13"/>
      <c r="EER2" s="13"/>
      <c r="EES2" s="13"/>
      <c r="EET2" s="13"/>
      <c r="EEU2" s="13"/>
      <c r="EEV2" s="13"/>
      <c r="EEW2" s="13"/>
      <c r="EEX2" s="13"/>
      <c r="EEY2" s="13"/>
      <c r="EEZ2" s="13"/>
      <c r="EFA2" s="13"/>
      <c r="EFB2" s="13"/>
      <c r="EFC2" s="13"/>
      <c r="EFD2" s="13"/>
      <c r="EFE2" s="13"/>
      <c r="EFF2" s="13"/>
      <c r="EFG2" s="13"/>
      <c r="EFH2" s="13"/>
      <c r="EFI2" s="13"/>
      <c r="EFJ2" s="13"/>
      <c r="EFK2" s="13"/>
      <c r="EFL2" s="13"/>
      <c r="EFM2" s="13"/>
      <c r="EFN2" s="13"/>
      <c r="EFO2" s="13"/>
      <c r="EFP2" s="13"/>
      <c r="EFQ2" s="13"/>
      <c r="EFR2" s="13"/>
      <c r="EFS2" s="13"/>
      <c r="EFT2" s="13"/>
      <c r="EFU2" s="13"/>
      <c r="EFV2" s="13"/>
      <c r="EFW2" s="13"/>
      <c r="EFX2" s="13"/>
      <c r="EFY2" s="13"/>
      <c r="EFZ2" s="13"/>
      <c r="EGA2" s="13"/>
      <c r="EGB2" s="13"/>
      <c r="EGC2" s="13"/>
      <c r="EGD2" s="13"/>
      <c r="EGE2" s="13"/>
      <c r="EGF2" s="13"/>
      <c r="EGG2" s="13"/>
      <c r="EGH2" s="13"/>
      <c r="EGI2" s="13"/>
      <c r="EGJ2" s="13"/>
      <c r="EGK2" s="13"/>
      <c r="EGL2" s="13"/>
      <c r="EGM2" s="13"/>
      <c r="EGN2" s="13"/>
      <c r="EGO2" s="13"/>
      <c r="EGP2" s="13"/>
      <c r="EGQ2" s="13"/>
      <c r="EGR2" s="13"/>
      <c r="EGS2" s="13"/>
      <c r="EGT2" s="13"/>
      <c r="EGU2" s="13"/>
      <c r="EGV2" s="13"/>
      <c r="EGW2" s="13"/>
      <c r="EGX2" s="13"/>
      <c r="EGY2" s="13"/>
      <c r="EGZ2" s="13"/>
      <c r="EHA2" s="13"/>
      <c r="EHB2" s="13"/>
      <c r="EHC2" s="13"/>
      <c r="EHD2" s="13"/>
      <c r="EHE2" s="13"/>
      <c r="EHF2" s="13"/>
      <c r="EHG2" s="13"/>
      <c r="EHH2" s="13"/>
      <c r="EHI2" s="13"/>
      <c r="EHJ2" s="13"/>
      <c r="EHK2" s="13"/>
      <c r="EHL2" s="13"/>
      <c r="EHM2" s="13"/>
      <c r="EHN2" s="13"/>
      <c r="EHO2" s="13"/>
      <c r="EHP2" s="13"/>
      <c r="EHQ2" s="13"/>
      <c r="EHR2" s="13"/>
      <c r="EHS2" s="13"/>
      <c r="EHT2" s="13"/>
      <c r="EHU2" s="13"/>
      <c r="EHV2" s="13"/>
      <c r="EHW2" s="13"/>
      <c r="EHX2" s="13"/>
      <c r="EHY2" s="13"/>
      <c r="EHZ2" s="13"/>
      <c r="EIA2" s="13"/>
      <c r="EIB2" s="13"/>
      <c r="EIC2" s="13"/>
      <c r="EID2" s="13"/>
      <c r="EIE2" s="13"/>
      <c r="EIF2" s="13"/>
      <c r="EIG2" s="13"/>
      <c r="EIH2" s="13"/>
      <c r="EII2" s="13"/>
      <c r="EIJ2" s="13"/>
      <c r="EIK2" s="13"/>
      <c r="EIL2" s="13"/>
      <c r="EIM2" s="13"/>
      <c r="EIN2" s="13"/>
      <c r="EIO2" s="13"/>
      <c r="EIP2" s="13"/>
      <c r="EIQ2" s="13"/>
      <c r="EIR2" s="13"/>
      <c r="EIS2" s="13"/>
      <c r="EIT2" s="13"/>
      <c r="EIU2" s="13"/>
      <c r="EIV2" s="13"/>
      <c r="EIW2" s="13"/>
      <c r="EIX2" s="13"/>
      <c r="EIY2" s="13"/>
      <c r="EIZ2" s="13"/>
      <c r="EJA2" s="13"/>
      <c r="EJB2" s="13"/>
      <c r="EJC2" s="13"/>
      <c r="EJD2" s="13"/>
      <c r="EJE2" s="13"/>
      <c r="EJF2" s="13"/>
      <c r="EJG2" s="13"/>
      <c r="EJH2" s="13"/>
      <c r="EJI2" s="13"/>
      <c r="EJJ2" s="13"/>
      <c r="EJK2" s="13"/>
      <c r="EJL2" s="13"/>
      <c r="EJM2" s="13"/>
      <c r="EJN2" s="13"/>
      <c r="EJO2" s="13"/>
      <c r="EJP2" s="13"/>
      <c r="EJQ2" s="13"/>
      <c r="EJR2" s="13"/>
      <c r="EJS2" s="13"/>
      <c r="EJT2" s="13"/>
      <c r="EJU2" s="13"/>
      <c r="EJV2" s="13"/>
      <c r="EJW2" s="13"/>
      <c r="EJX2" s="13"/>
      <c r="EJY2" s="13"/>
      <c r="EJZ2" s="13"/>
      <c r="EKA2" s="13"/>
      <c r="EKB2" s="13"/>
      <c r="EKC2" s="13"/>
      <c r="EKD2" s="13"/>
      <c r="EKE2" s="13"/>
      <c r="EKF2" s="13"/>
      <c r="EKG2" s="13"/>
      <c r="EKH2" s="13"/>
      <c r="EKI2" s="13"/>
      <c r="EKJ2" s="13"/>
      <c r="EKK2" s="13"/>
      <c r="EKL2" s="13"/>
      <c r="EKM2" s="13"/>
      <c r="EKN2" s="13"/>
      <c r="EKO2" s="13"/>
      <c r="EKP2" s="13"/>
      <c r="EKQ2" s="13"/>
      <c r="EKR2" s="13"/>
      <c r="EKS2" s="13"/>
      <c r="EKT2" s="13"/>
      <c r="EKU2" s="13"/>
      <c r="EKV2" s="13"/>
      <c r="EKW2" s="13"/>
      <c r="EKX2" s="13"/>
      <c r="EKY2" s="13"/>
      <c r="EKZ2" s="13"/>
      <c r="ELA2" s="13"/>
      <c r="ELB2" s="13"/>
      <c r="ELC2" s="13"/>
      <c r="ELD2" s="13"/>
      <c r="ELE2" s="13"/>
      <c r="ELF2" s="13"/>
      <c r="ELG2" s="13"/>
      <c r="ELH2" s="13"/>
      <c r="ELI2" s="13"/>
      <c r="ELJ2" s="13"/>
      <c r="ELK2" s="13"/>
      <c r="ELL2" s="13"/>
      <c r="ELM2" s="13"/>
      <c r="ELN2" s="13"/>
      <c r="ELO2" s="13"/>
      <c r="ELP2" s="13"/>
      <c r="ELQ2" s="13"/>
      <c r="ELR2" s="13"/>
      <c r="ELS2" s="13"/>
      <c r="ELT2" s="13"/>
      <c r="ELU2" s="13"/>
      <c r="ELV2" s="13"/>
      <c r="ELW2" s="13"/>
      <c r="ELX2" s="13"/>
      <c r="ELY2" s="13"/>
      <c r="ELZ2" s="13"/>
      <c r="EMA2" s="13"/>
      <c r="EMB2" s="13"/>
      <c r="EMC2" s="13"/>
      <c r="EMD2" s="13"/>
      <c r="EME2" s="13"/>
      <c r="EMF2" s="13"/>
      <c r="EMG2" s="13"/>
      <c r="EMH2" s="13"/>
      <c r="EMI2" s="13"/>
      <c r="EMJ2" s="13"/>
      <c r="EMK2" s="13"/>
      <c r="EML2" s="13"/>
      <c r="EMM2" s="13"/>
      <c r="EMN2" s="13"/>
      <c r="EMO2" s="13"/>
      <c r="EMP2" s="13"/>
      <c r="EMQ2" s="13"/>
      <c r="EMR2" s="13"/>
      <c r="EMS2" s="13"/>
      <c r="EMT2" s="13"/>
      <c r="EMU2" s="13"/>
      <c r="EMV2" s="13"/>
      <c r="EMW2" s="13"/>
      <c r="EMX2" s="13"/>
      <c r="EMY2" s="13"/>
      <c r="EMZ2" s="13"/>
      <c r="ENA2" s="13"/>
      <c r="ENB2" s="13"/>
      <c r="ENC2" s="13"/>
      <c r="END2" s="13"/>
      <c r="ENE2" s="13"/>
      <c r="ENF2" s="13"/>
      <c r="ENG2" s="13"/>
      <c r="ENH2" s="13"/>
      <c r="ENI2" s="13"/>
      <c r="ENJ2" s="13"/>
      <c r="ENK2" s="13"/>
      <c r="ENL2" s="13"/>
      <c r="ENM2" s="13"/>
      <c r="ENN2" s="13"/>
      <c r="ENO2" s="13"/>
      <c r="ENP2" s="13"/>
      <c r="ENQ2" s="13"/>
      <c r="ENR2" s="13"/>
      <c r="ENS2" s="13"/>
      <c r="ENT2" s="13"/>
      <c r="ENU2" s="13"/>
      <c r="ENV2" s="13"/>
      <c r="ENW2" s="13"/>
      <c r="ENX2" s="13"/>
      <c r="ENY2" s="13"/>
      <c r="ENZ2" s="13"/>
      <c r="EOA2" s="13"/>
      <c r="EOB2" s="13"/>
      <c r="EOC2" s="13"/>
      <c r="EOD2" s="13"/>
      <c r="EOE2" s="13"/>
      <c r="EOF2" s="13"/>
      <c r="EOG2" s="13"/>
      <c r="EOH2" s="13"/>
      <c r="EOI2" s="13"/>
      <c r="EOJ2" s="13"/>
      <c r="EOK2" s="13"/>
      <c r="EOL2" s="13"/>
      <c r="EOM2" s="13"/>
      <c r="EON2" s="13"/>
      <c r="EOO2" s="13"/>
      <c r="EOP2" s="13"/>
      <c r="EOQ2" s="13"/>
      <c r="EOR2" s="13"/>
      <c r="EOS2" s="13"/>
      <c r="EOT2" s="13"/>
      <c r="EOU2" s="13"/>
      <c r="EOV2" s="13"/>
      <c r="EOW2" s="13"/>
      <c r="EOX2" s="13"/>
      <c r="EOY2" s="13"/>
      <c r="EOZ2" s="13"/>
      <c r="EPA2" s="13"/>
      <c r="EPB2" s="13"/>
      <c r="EPC2" s="13"/>
      <c r="EPD2" s="13"/>
      <c r="EPE2" s="13"/>
      <c r="EPF2" s="13"/>
      <c r="EPG2" s="13"/>
      <c r="EPH2" s="13"/>
      <c r="EPI2" s="13"/>
      <c r="EPJ2" s="13"/>
      <c r="EPK2" s="13"/>
      <c r="EPL2" s="13"/>
      <c r="EPM2" s="13"/>
      <c r="EPN2" s="13"/>
      <c r="EPO2" s="13"/>
      <c r="EPP2" s="13"/>
      <c r="EPQ2" s="13"/>
      <c r="EPR2" s="13"/>
      <c r="EPS2" s="13"/>
      <c r="EPT2" s="13"/>
      <c r="EPU2" s="13"/>
      <c r="EPV2" s="13"/>
      <c r="EPW2" s="13"/>
      <c r="EPX2" s="13"/>
      <c r="EPY2" s="13"/>
      <c r="EPZ2" s="13"/>
      <c r="EQA2" s="13"/>
      <c r="EQB2" s="13"/>
      <c r="EQC2" s="13"/>
      <c r="EQD2" s="13"/>
      <c r="EQE2" s="13"/>
      <c r="EQF2" s="13"/>
      <c r="EQG2" s="13"/>
      <c r="EQH2" s="13"/>
      <c r="EQI2" s="13"/>
      <c r="EQJ2" s="13"/>
      <c r="EQK2" s="13"/>
      <c r="EQL2" s="13"/>
      <c r="EQM2" s="13"/>
      <c r="EQN2" s="13"/>
      <c r="EQO2" s="13"/>
      <c r="EQP2" s="13"/>
      <c r="EQQ2" s="13"/>
      <c r="EQR2" s="13"/>
      <c r="EQS2" s="13"/>
      <c r="EQT2" s="13"/>
      <c r="EQU2" s="13"/>
      <c r="EQV2" s="13"/>
      <c r="EQW2" s="13"/>
      <c r="EQX2" s="13"/>
      <c r="EQY2" s="13"/>
      <c r="EQZ2" s="13"/>
      <c r="ERA2" s="13"/>
      <c r="ERB2" s="13"/>
      <c r="ERC2" s="13"/>
      <c r="ERD2" s="13"/>
      <c r="ERE2" s="13"/>
      <c r="ERF2" s="13"/>
      <c r="ERG2" s="13"/>
      <c r="ERH2" s="13"/>
      <c r="ERI2" s="13"/>
      <c r="ERJ2" s="13"/>
      <c r="ERK2" s="13"/>
      <c r="ERL2" s="13"/>
      <c r="ERM2" s="13"/>
      <c r="ERN2" s="13"/>
      <c r="ERO2" s="13"/>
      <c r="ERP2" s="13"/>
      <c r="ERQ2" s="13"/>
      <c r="ERR2" s="13"/>
      <c r="ERS2" s="13"/>
      <c r="ERT2" s="13"/>
      <c r="ERU2" s="13"/>
      <c r="ERV2" s="13"/>
      <c r="ERW2" s="13"/>
      <c r="ERX2" s="13"/>
      <c r="ERY2" s="13"/>
      <c r="ERZ2" s="13"/>
      <c r="ESA2" s="13"/>
      <c r="ESB2" s="13"/>
      <c r="ESC2" s="13"/>
      <c r="ESD2" s="13"/>
      <c r="ESE2" s="13"/>
      <c r="ESF2" s="13"/>
      <c r="ESG2" s="13"/>
      <c r="ESH2" s="13"/>
      <c r="ESI2" s="13"/>
      <c r="ESJ2" s="13"/>
      <c r="ESK2" s="13"/>
      <c r="ESL2" s="13"/>
      <c r="ESM2" s="13"/>
      <c r="ESN2" s="13"/>
      <c r="ESO2" s="13"/>
      <c r="ESP2" s="13"/>
      <c r="ESQ2" s="13"/>
      <c r="ESR2" s="13"/>
      <c r="ESS2" s="13"/>
      <c r="EST2" s="13"/>
      <c r="ESU2" s="13"/>
      <c r="ESV2" s="13"/>
      <c r="ESW2" s="13"/>
      <c r="ESX2" s="13"/>
      <c r="ESY2" s="13"/>
      <c r="ESZ2" s="13"/>
      <c r="ETA2" s="13"/>
      <c r="ETB2" s="13"/>
      <c r="ETC2" s="13"/>
      <c r="ETD2" s="13"/>
      <c r="ETE2" s="13"/>
      <c r="ETF2" s="13"/>
      <c r="ETG2" s="13"/>
      <c r="ETH2" s="13"/>
      <c r="ETI2" s="13"/>
      <c r="ETJ2" s="13"/>
      <c r="ETK2" s="13"/>
      <c r="ETL2" s="13"/>
      <c r="ETM2" s="13"/>
      <c r="ETN2" s="13"/>
      <c r="ETO2" s="13"/>
      <c r="ETP2" s="13"/>
      <c r="ETQ2" s="13"/>
      <c r="ETR2" s="13"/>
      <c r="ETS2" s="13"/>
      <c r="ETT2" s="13"/>
      <c r="ETU2" s="13"/>
      <c r="ETV2" s="13"/>
      <c r="ETW2" s="13"/>
      <c r="ETX2" s="13"/>
      <c r="ETY2" s="13"/>
      <c r="ETZ2" s="13"/>
      <c r="EUA2" s="13"/>
      <c r="EUB2" s="13"/>
      <c r="EUC2" s="13"/>
      <c r="EUD2" s="13"/>
      <c r="EUE2" s="13"/>
      <c r="EUF2" s="13"/>
      <c r="EUG2" s="13"/>
      <c r="EUH2" s="13"/>
      <c r="EUI2" s="13"/>
      <c r="EUJ2" s="13"/>
      <c r="EUK2" s="13"/>
      <c r="EUL2" s="13"/>
      <c r="EUM2" s="13"/>
      <c r="EUN2" s="13"/>
      <c r="EUO2" s="13"/>
      <c r="EUP2" s="13"/>
      <c r="EUQ2" s="13"/>
      <c r="EUR2" s="13"/>
      <c r="EUS2" s="13"/>
      <c r="EUT2" s="13"/>
      <c r="EUU2" s="13"/>
      <c r="EUV2" s="13"/>
      <c r="EUW2" s="13"/>
      <c r="EUX2" s="13"/>
      <c r="EUY2" s="13"/>
      <c r="EUZ2" s="13"/>
      <c r="EVA2" s="13"/>
      <c r="EVB2" s="13"/>
      <c r="EVC2" s="13"/>
      <c r="EVD2" s="13"/>
      <c r="EVE2" s="13"/>
      <c r="EVF2" s="13"/>
      <c r="EVG2" s="13"/>
      <c r="EVH2" s="13"/>
      <c r="EVI2" s="13"/>
      <c r="EVJ2" s="13"/>
      <c r="EVK2" s="13"/>
      <c r="EVL2" s="13"/>
      <c r="EVM2" s="13"/>
      <c r="EVN2" s="13"/>
      <c r="EVO2" s="13"/>
      <c r="EVP2" s="13"/>
      <c r="EVQ2" s="13"/>
      <c r="EVR2" s="13"/>
      <c r="EVS2" s="13"/>
      <c r="EVT2" s="13"/>
      <c r="EVU2" s="13"/>
      <c r="EVV2" s="13"/>
      <c r="EVW2" s="13"/>
      <c r="EVX2" s="13"/>
      <c r="EVY2" s="13"/>
      <c r="EVZ2" s="13"/>
      <c r="EWA2" s="13"/>
      <c r="EWB2" s="13"/>
      <c r="EWC2" s="13"/>
      <c r="EWD2" s="13"/>
      <c r="EWE2" s="13"/>
      <c r="EWF2" s="13"/>
      <c r="EWG2" s="13"/>
      <c r="EWH2" s="13"/>
      <c r="EWI2" s="13"/>
      <c r="EWJ2" s="13"/>
      <c r="EWK2" s="13"/>
      <c r="EWL2" s="13"/>
      <c r="EWM2" s="13"/>
      <c r="EWN2" s="13"/>
      <c r="EWO2" s="13"/>
      <c r="EWP2" s="13"/>
      <c r="EWQ2" s="13"/>
      <c r="EWR2" s="13"/>
      <c r="EWS2" s="13"/>
      <c r="EWT2" s="13"/>
      <c r="EWU2" s="13"/>
      <c r="EWV2" s="13"/>
      <c r="EWW2" s="13"/>
      <c r="EWX2" s="13"/>
      <c r="EWY2" s="13"/>
      <c r="EWZ2" s="13"/>
      <c r="EXA2" s="13"/>
      <c r="EXB2" s="13"/>
      <c r="EXC2" s="13"/>
      <c r="EXD2" s="13"/>
      <c r="EXE2" s="13"/>
      <c r="EXF2" s="13"/>
      <c r="EXG2" s="13"/>
      <c r="EXH2" s="13"/>
      <c r="EXI2" s="13"/>
      <c r="EXJ2" s="13"/>
      <c r="EXK2" s="13"/>
      <c r="EXL2" s="13"/>
      <c r="EXM2" s="13"/>
      <c r="EXN2" s="13"/>
      <c r="EXO2" s="13"/>
      <c r="EXP2" s="13"/>
      <c r="EXQ2" s="13"/>
      <c r="EXR2" s="13"/>
      <c r="EXS2" s="13"/>
      <c r="EXT2" s="13"/>
      <c r="EXU2" s="13"/>
      <c r="EXV2" s="13"/>
      <c r="EXW2" s="13"/>
      <c r="EXX2" s="13"/>
      <c r="EXY2" s="13"/>
      <c r="EXZ2" s="13"/>
      <c r="EYA2" s="13"/>
      <c r="EYB2" s="13"/>
      <c r="EYC2" s="13"/>
      <c r="EYD2" s="13"/>
      <c r="EYE2" s="13"/>
      <c r="EYF2" s="13"/>
      <c r="EYG2" s="13"/>
      <c r="EYH2" s="13"/>
      <c r="EYI2" s="13"/>
      <c r="EYJ2" s="13"/>
      <c r="EYK2" s="13"/>
      <c r="EYL2" s="13"/>
      <c r="EYM2" s="13"/>
      <c r="EYN2" s="13"/>
      <c r="EYO2" s="13"/>
      <c r="EYP2" s="13"/>
      <c r="EYQ2" s="13"/>
      <c r="EYR2" s="13"/>
      <c r="EYS2" s="13"/>
      <c r="EYT2" s="13"/>
      <c r="EYU2" s="13"/>
      <c r="EYV2" s="13"/>
      <c r="EYW2" s="13"/>
      <c r="EYX2" s="13"/>
      <c r="EYY2" s="13"/>
      <c r="EYZ2" s="13"/>
      <c r="EZA2" s="13"/>
      <c r="EZB2" s="13"/>
      <c r="EZC2" s="13"/>
      <c r="EZD2" s="13"/>
      <c r="EZE2" s="13"/>
      <c r="EZF2" s="13"/>
      <c r="EZG2" s="13"/>
      <c r="EZH2" s="13"/>
      <c r="EZI2" s="13"/>
      <c r="EZJ2" s="13"/>
      <c r="EZK2" s="13"/>
      <c r="EZL2" s="13"/>
      <c r="EZM2" s="13"/>
      <c r="EZN2" s="13"/>
      <c r="EZO2" s="13"/>
      <c r="EZP2" s="13"/>
      <c r="EZQ2" s="13"/>
      <c r="EZR2" s="13"/>
      <c r="EZS2" s="13"/>
      <c r="EZT2" s="13"/>
      <c r="EZU2" s="13"/>
      <c r="EZV2" s="13"/>
      <c r="EZW2" s="13"/>
      <c r="EZX2" s="13"/>
      <c r="EZY2" s="13"/>
      <c r="EZZ2" s="13"/>
      <c r="FAA2" s="13"/>
      <c r="FAB2" s="13"/>
      <c r="FAC2" s="13"/>
      <c r="FAD2" s="13"/>
      <c r="FAE2" s="13"/>
      <c r="FAF2" s="13"/>
      <c r="FAG2" s="13"/>
      <c r="FAH2" s="13"/>
      <c r="FAI2" s="13"/>
      <c r="FAJ2" s="13"/>
      <c r="FAK2" s="13"/>
      <c r="FAL2" s="13"/>
      <c r="FAM2" s="13"/>
      <c r="FAN2" s="13"/>
      <c r="FAO2" s="13"/>
      <c r="FAP2" s="13"/>
      <c r="FAQ2" s="13"/>
      <c r="FAR2" s="13"/>
      <c r="FAS2" s="13"/>
      <c r="FAT2" s="13"/>
      <c r="FAU2" s="13"/>
      <c r="FAV2" s="13"/>
      <c r="FAW2" s="13"/>
      <c r="FAX2" s="13"/>
      <c r="FAY2" s="13"/>
      <c r="FAZ2" s="13"/>
      <c r="FBA2" s="13"/>
      <c r="FBB2" s="13"/>
      <c r="FBC2" s="13"/>
      <c r="FBD2" s="13"/>
      <c r="FBE2" s="13"/>
      <c r="FBF2" s="13"/>
      <c r="FBG2" s="13"/>
      <c r="FBH2" s="13"/>
      <c r="FBI2" s="13"/>
      <c r="FBJ2" s="13"/>
      <c r="FBK2" s="13"/>
      <c r="FBL2" s="13"/>
      <c r="FBM2" s="13"/>
      <c r="FBN2" s="13"/>
      <c r="FBO2" s="13"/>
      <c r="FBP2" s="13"/>
      <c r="FBQ2" s="13"/>
      <c r="FBR2" s="13"/>
      <c r="FBS2" s="13"/>
      <c r="FBT2" s="13"/>
      <c r="FBU2" s="13"/>
      <c r="FBV2" s="13"/>
      <c r="FBW2" s="13"/>
      <c r="FBX2" s="13"/>
      <c r="FBY2" s="13"/>
      <c r="FBZ2" s="13"/>
      <c r="FCA2" s="13"/>
      <c r="FCB2" s="13"/>
      <c r="FCC2" s="13"/>
      <c r="FCD2" s="13"/>
      <c r="FCE2" s="13"/>
      <c r="FCF2" s="13"/>
      <c r="FCG2" s="13"/>
      <c r="FCH2" s="13"/>
      <c r="FCI2" s="13"/>
      <c r="FCJ2" s="13"/>
      <c r="FCK2" s="13"/>
      <c r="FCL2" s="13"/>
      <c r="FCM2" s="13"/>
      <c r="FCN2" s="13"/>
      <c r="FCO2" s="13"/>
      <c r="FCP2" s="13"/>
      <c r="FCQ2" s="13"/>
      <c r="FCR2" s="13"/>
      <c r="FCS2" s="13"/>
      <c r="FCT2" s="13"/>
      <c r="FCU2" s="13"/>
      <c r="FCV2" s="13"/>
      <c r="FCW2" s="13"/>
      <c r="FCX2" s="13"/>
      <c r="FCY2" s="13"/>
      <c r="FCZ2" s="13"/>
      <c r="FDA2" s="13"/>
      <c r="FDB2" s="13"/>
      <c r="FDC2" s="13"/>
      <c r="FDD2" s="13"/>
      <c r="FDE2" s="13"/>
      <c r="FDF2" s="13"/>
      <c r="FDG2" s="13"/>
      <c r="FDH2" s="13"/>
      <c r="FDI2" s="13"/>
      <c r="FDJ2" s="13"/>
      <c r="FDK2" s="13"/>
      <c r="FDL2" s="13"/>
      <c r="FDM2" s="13"/>
      <c r="FDN2" s="13"/>
      <c r="FDO2" s="13"/>
      <c r="FDP2" s="13"/>
      <c r="FDQ2" s="13"/>
      <c r="FDR2" s="13"/>
      <c r="FDS2" s="13"/>
      <c r="FDT2" s="13"/>
      <c r="FDU2" s="13"/>
      <c r="FDV2" s="13"/>
      <c r="FDW2" s="13"/>
      <c r="FDX2" s="13"/>
      <c r="FDY2" s="13"/>
      <c r="FDZ2" s="13"/>
      <c r="FEA2" s="13"/>
      <c r="FEB2" s="13"/>
      <c r="FEC2" s="13"/>
      <c r="FED2" s="13"/>
      <c r="FEE2" s="13"/>
      <c r="FEF2" s="13"/>
      <c r="FEG2" s="13"/>
      <c r="FEH2" s="13"/>
      <c r="FEI2" s="13"/>
      <c r="FEJ2" s="13"/>
      <c r="FEK2" s="13"/>
      <c r="FEL2" s="13"/>
      <c r="FEM2" s="13"/>
      <c r="FEN2" s="13"/>
      <c r="FEO2" s="13"/>
      <c r="FEP2" s="13"/>
      <c r="FEQ2" s="13"/>
      <c r="FER2" s="13"/>
      <c r="FES2" s="13"/>
      <c r="FET2" s="13"/>
      <c r="FEU2" s="13"/>
      <c r="FEV2" s="13"/>
      <c r="FEW2" s="13"/>
      <c r="FEX2" s="13"/>
      <c r="FEY2" s="13"/>
      <c r="FEZ2" s="13"/>
      <c r="FFA2" s="13"/>
      <c r="FFB2" s="13"/>
      <c r="FFC2" s="13"/>
      <c r="FFD2" s="13"/>
      <c r="FFE2" s="13"/>
      <c r="FFF2" s="13"/>
      <c r="FFG2" s="13"/>
      <c r="FFH2" s="13"/>
      <c r="FFI2" s="13"/>
      <c r="FFJ2" s="13"/>
      <c r="FFK2" s="13"/>
      <c r="FFL2" s="13"/>
      <c r="FFM2" s="13"/>
      <c r="FFN2" s="13"/>
      <c r="FFO2" s="13"/>
      <c r="FFP2" s="13"/>
      <c r="FFQ2" s="13"/>
      <c r="FFR2" s="13"/>
      <c r="FFS2" s="13"/>
      <c r="FFT2" s="13"/>
      <c r="FFU2" s="13"/>
      <c r="FFV2" s="13"/>
      <c r="FFW2" s="13"/>
      <c r="FFX2" s="13"/>
      <c r="FFY2" s="13"/>
      <c r="FFZ2" s="13"/>
      <c r="FGA2" s="13"/>
      <c r="FGB2" s="13"/>
      <c r="FGC2" s="13"/>
      <c r="FGD2" s="13"/>
      <c r="FGE2" s="13"/>
      <c r="FGF2" s="13"/>
      <c r="FGG2" s="13"/>
      <c r="FGH2" s="13"/>
      <c r="FGI2" s="13"/>
      <c r="FGJ2" s="13"/>
      <c r="FGK2" s="13"/>
      <c r="FGL2" s="13"/>
      <c r="FGM2" s="13"/>
      <c r="FGN2" s="13"/>
      <c r="FGO2" s="13"/>
      <c r="FGP2" s="13"/>
      <c r="FGQ2" s="13"/>
      <c r="FGR2" s="13"/>
      <c r="FGS2" s="13"/>
      <c r="FGT2" s="13"/>
      <c r="FGU2" s="13"/>
      <c r="FGV2" s="13"/>
      <c r="FGW2" s="13"/>
      <c r="FGX2" s="13"/>
      <c r="FGY2" s="13"/>
      <c r="FGZ2" s="13"/>
      <c r="FHA2" s="13"/>
      <c r="FHB2" s="13"/>
      <c r="FHC2" s="13"/>
      <c r="FHD2" s="13"/>
      <c r="FHE2" s="13"/>
      <c r="FHF2" s="13"/>
      <c r="FHG2" s="13"/>
      <c r="FHH2" s="13"/>
      <c r="FHI2" s="13"/>
      <c r="FHJ2" s="13"/>
      <c r="FHK2" s="13"/>
      <c r="FHL2" s="13"/>
      <c r="FHM2" s="13"/>
      <c r="FHN2" s="13"/>
      <c r="FHO2" s="13"/>
      <c r="FHP2" s="13"/>
      <c r="FHQ2" s="13"/>
      <c r="FHR2" s="13"/>
      <c r="FHS2" s="13"/>
      <c r="FHT2" s="13"/>
      <c r="FHU2" s="13"/>
      <c r="FHV2" s="13"/>
      <c r="FHW2" s="13"/>
      <c r="FHX2" s="13"/>
      <c r="FHY2" s="13"/>
      <c r="FHZ2" s="13"/>
      <c r="FIA2" s="13"/>
      <c r="FIB2" s="13"/>
      <c r="FIC2" s="13"/>
      <c r="FID2" s="13"/>
      <c r="FIE2" s="13"/>
      <c r="FIF2" s="13"/>
      <c r="FIG2" s="13"/>
      <c r="FIH2" s="13"/>
      <c r="FII2" s="13"/>
      <c r="FIJ2" s="13"/>
      <c r="FIK2" s="13"/>
      <c r="FIL2" s="13"/>
      <c r="FIM2" s="13"/>
      <c r="FIN2" s="13"/>
      <c r="FIO2" s="13"/>
      <c r="FIP2" s="13"/>
      <c r="FIQ2" s="13"/>
      <c r="FIR2" s="13"/>
      <c r="FIS2" s="13"/>
      <c r="FIT2" s="13"/>
      <c r="FIU2" s="13"/>
      <c r="FIV2" s="13"/>
      <c r="FIW2" s="13"/>
      <c r="FIX2" s="13"/>
      <c r="FIY2" s="13"/>
      <c r="FIZ2" s="13"/>
      <c r="FJA2" s="13"/>
      <c r="FJB2" s="13"/>
      <c r="FJC2" s="13"/>
      <c r="FJD2" s="13"/>
      <c r="FJE2" s="13"/>
      <c r="FJF2" s="13"/>
      <c r="FJG2" s="13"/>
      <c r="FJH2" s="13"/>
      <c r="FJI2" s="13"/>
      <c r="FJJ2" s="13"/>
      <c r="FJK2" s="13"/>
      <c r="FJL2" s="13"/>
      <c r="FJM2" s="13"/>
      <c r="FJN2" s="13"/>
      <c r="FJO2" s="13"/>
      <c r="FJP2" s="13"/>
      <c r="FJQ2" s="13"/>
      <c r="FJR2" s="13"/>
      <c r="FJS2" s="13"/>
      <c r="FJT2" s="13"/>
      <c r="FJU2" s="13"/>
      <c r="FJV2" s="13"/>
      <c r="FJW2" s="13"/>
      <c r="FJX2" s="13"/>
      <c r="FJY2" s="13"/>
      <c r="FJZ2" s="13"/>
      <c r="FKA2" s="13"/>
      <c r="FKB2" s="13"/>
      <c r="FKC2" s="13"/>
      <c r="FKD2" s="13"/>
      <c r="FKE2" s="13"/>
      <c r="FKF2" s="13"/>
      <c r="FKG2" s="13"/>
      <c r="FKH2" s="13"/>
      <c r="FKI2" s="13"/>
      <c r="FKJ2" s="13"/>
      <c r="FKK2" s="13"/>
      <c r="FKL2" s="13"/>
      <c r="FKM2" s="13"/>
      <c r="FKN2" s="13"/>
      <c r="FKO2" s="13"/>
      <c r="FKP2" s="13"/>
      <c r="FKQ2" s="13"/>
      <c r="FKR2" s="13"/>
      <c r="FKS2" s="13"/>
      <c r="FKT2" s="13"/>
      <c r="FKU2" s="13"/>
      <c r="FKV2" s="13"/>
      <c r="FKW2" s="13"/>
      <c r="FKX2" s="13"/>
      <c r="FKY2" s="13"/>
      <c r="FKZ2" s="13"/>
      <c r="FLA2" s="13"/>
      <c r="FLB2" s="13"/>
      <c r="FLC2" s="13"/>
      <c r="FLD2" s="13"/>
      <c r="FLE2" s="13"/>
      <c r="FLF2" s="13"/>
      <c r="FLG2" s="13"/>
      <c r="FLH2" s="13"/>
      <c r="FLI2" s="13"/>
      <c r="FLJ2" s="13"/>
      <c r="FLK2" s="13"/>
      <c r="FLL2" s="13"/>
      <c r="FLM2" s="13"/>
      <c r="FLN2" s="13"/>
      <c r="FLO2" s="13"/>
      <c r="FLP2" s="13"/>
      <c r="FLQ2" s="13"/>
      <c r="FLR2" s="13"/>
      <c r="FLS2" s="13"/>
      <c r="FLT2" s="13"/>
      <c r="FLU2" s="13"/>
      <c r="FLV2" s="13"/>
      <c r="FLW2" s="13"/>
      <c r="FLX2" s="13"/>
      <c r="FLY2" s="13"/>
      <c r="FLZ2" s="13"/>
      <c r="FMA2" s="13"/>
      <c r="FMB2" s="13"/>
      <c r="FMC2" s="13"/>
      <c r="FMD2" s="13"/>
      <c r="FME2" s="13"/>
      <c r="FMF2" s="13"/>
      <c r="FMG2" s="13"/>
      <c r="FMH2" s="13"/>
      <c r="FMI2" s="13"/>
      <c r="FMJ2" s="13"/>
      <c r="FMK2" s="13"/>
      <c r="FML2" s="13"/>
      <c r="FMM2" s="13"/>
      <c r="FMN2" s="13"/>
      <c r="FMO2" s="13"/>
      <c r="FMP2" s="13"/>
      <c r="FMQ2" s="13"/>
      <c r="FMR2" s="13"/>
      <c r="FMS2" s="13"/>
      <c r="FMT2" s="13"/>
      <c r="FMU2" s="13"/>
      <c r="FMV2" s="13"/>
      <c r="FMW2" s="13"/>
      <c r="FMX2" s="13"/>
      <c r="FMY2" s="13"/>
      <c r="FMZ2" s="13"/>
      <c r="FNA2" s="13"/>
      <c r="FNB2" s="13"/>
      <c r="FNC2" s="13"/>
      <c r="FND2" s="13"/>
      <c r="FNE2" s="13"/>
      <c r="FNF2" s="13"/>
      <c r="FNG2" s="13"/>
      <c r="FNH2" s="13"/>
      <c r="FNI2" s="13"/>
      <c r="FNJ2" s="13"/>
      <c r="FNK2" s="13"/>
      <c r="FNL2" s="13"/>
      <c r="FNM2" s="13"/>
      <c r="FNN2" s="13"/>
      <c r="FNO2" s="13"/>
      <c r="FNP2" s="13"/>
      <c r="FNQ2" s="13"/>
      <c r="FNR2" s="13"/>
      <c r="FNS2" s="13"/>
      <c r="FNT2" s="13"/>
      <c r="FNU2" s="13"/>
      <c r="FNV2" s="13"/>
      <c r="FNW2" s="13"/>
      <c r="FNX2" s="13"/>
      <c r="FNY2" s="13"/>
      <c r="FNZ2" s="13"/>
      <c r="FOA2" s="13"/>
      <c r="FOB2" s="13"/>
      <c r="FOC2" s="13"/>
      <c r="FOD2" s="13"/>
      <c r="FOE2" s="13"/>
      <c r="FOF2" s="13"/>
      <c r="FOG2" s="13"/>
      <c r="FOH2" s="13"/>
      <c r="FOI2" s="13"/>
      <c r="FOJ2" s="13"/>
      <c r="FOK2" s="13"/>
      <c r="FOL2" s="13"/>
      <c r="FOM2" s="13"/>
      <c r="FON2" s="13"/>
      <c r="FOO2" s="13"/>
      <c r="FOP2" s="13"/>
      <c r="FOQ2" s="13"/>
      <c r="FOR2" s="13"/>
      <c r="FOS2" s="13"/>
      <c r="FOT2" s="13"/>
      <c r="FOU2" s="13"/>
      <c r="FOV2" s="13"/>
      <c r="FOW2" s="13"/>
      <c r="FOX2" s="13"/>
      <c r="FOY2" s="13"/>
      <c r="FOZ2" s="13"/>
      <c r="FPA2" s="13"/>
      <c r="FPB2" s="13"/>
      <c r="FPC2" s="13"/>
      <c r="FPD2" s="13"/>
      <c r="FPE2" s="13"/>
      <c r="FPF2" s="13"/>
      <c r="FPG2" s="13"/>
      <c r="FPH2" s="13"/>
      <c r="FPI2" s="13"/>
      <c r="FPJ2" s="13"/>
      <c r="FPK2" s="13"/>
      <c r="FPL2" s="13"/>
      <c r="FPM2" s="13"/>
      <c r="FPN2" s="13"/>
      <c r="FPO2" s="13"/>
      <c r="FPP2" s="13"/>
      <c r="FPQ2" s="13"/>
      <c r="FPR2" s="13"/>
      <c r="FPS2" s="13"/>
      <c r="FPT2" s="13"/>
      <c r="FPU2" s="13"/>
      <c r="FPV2" s="13"/>
      <c r="FPW2" s="13"/>
      <c r="FPX2" s="13"/>
      <c r="FPY2" s="13"/>
      <c r="FPZ2" s="13"/>
      <c r="FQA2" s="13"/>
      <c r="FQB2" s="13"/>
      <c r="FQC2" s="13"/>
      <c r="FQD2" s="13"/>
      <c r="FQE2" s="13"/>
      <c r="FQF2" s="13"/>
      <c r="FQG2" s="13"/>
      <c r="FQH2" s="13"/>
      <c r="FQI2" s="13"/>
      <c r="FQJ2" s="13"/>
      <c r="FQK2" s="13"/>
      <c r="FQL2" s="13"/>
      <c r="FQM2" s="13"/>
      <c r="FQN2" s="13"/>
      <c r="FQO2" s="13"/>
      <c r="FQP2" s="13"/>
      <c r="FQQ2" s="13"/>
      <c r="FQR2" s="13"/>
      <c r="FQS2" s="13"/>
      <c r="FQT2" s="13"/>
      <c r="FQU2" s="13"/>
      <c r="FQV2" s="13"/>
      <c r="FQW2" s="13"/>
      <c r="FQX2" s="13"/>
      <c r="FQY2" s="13"/>
      <c r="FQZ2" s="13"/>
      <c r="FRA2" s="13"/>
      <c r="FRB2" s="13"/>
      <c r="FRC2" s="13"/>
      <c r="FRD2" s="13"/>
      <c r="FRE2" s="13"/>
      <c r="FRF2" s="13"/>
      <c r="FRG2" s="13"/>
      <c r="FRH2" s="13"/>
      <c r="FRI2" s="13"/>
      <c r="FRJ2" s="13"/>
      <c r="FRK2" s="13"/>
      <c r="FRL2" s="13"/>
      <c r="FRM2" s="13"/>
      <c r="FRN2" s="13"/>
      <c r="FRO2" s="13"/>
      <c r="FRP2" s="13"/>
      <c r="FRQ2" s="13"/>
      <c r="FRR2" s="13"/>
      <c r="FRS2" s="13"/>
      <c r="FRT2" s="13"/>
      <c r="FRU2" s="13"/>
      <c r="FRV2" s="13"/>
      <c r="FRW2" s="13"/>
      <c r="FRX2" s="13"/>
      <c r="FRY2" s="13"/>
      <c r="FRZ2" s="13"/>
      <c r="FSA2" s="13"/>
      <c r="FSB2" s="13"/>
      <c r="FSC2" s="13"/>
      <c r="FSD2" s="13"/>
      <c r="FSE2" s="13"/>
      <c r="FSF2" s="13"/>
      <c r="FSG2" s="13"/>
      <c r="FSH2" s="13"/>
      <c r="FSI2" s="13"/>
      <c r="FSJ2" s="13"/>
      <c r="FSK2" s="13"/>
      <c r="FSL2" s="13"/>
      <c r="FSM2" s="13"/>
      <c r="FSN2" s="13"/>
      <c r="FSO2" s="13"/>
      <c r="FSP2" s="13"/>
      <c r="FSQ2" s="13"/>
      <c r="FSR2" s="13"/>
      <c r="FSS2" s="13"/>
      <c r="FST2" s="13"/>
      <c r="FSU2" s="13"/>
      <c r="FSV2" s="13"/>
      <c r="FSW2" s="13"/>
      <c r="FSX2" s="13"/>
      <c r="FSY2" s="13"/>
      <c r="FSZ2" s="13"/>
      <c r="FTA2" s="13"/>
      <c r="FTB2" s="13"/>
      <c r="FTC2" s="13"/>
      <c r="FTD2" s="13"/>
      <c r="FTE2" s="13"/>
      <c r="FTF2" s="13"/>
      <c r="FTG2" s="13"/>
      <c r="FTH2" s="13"/>
      <c r="FTI2" s="13"/>
      <c r="FTJ2" s="13"/>
      <c r="FTK2" s="13"/>
      <c r="FTL2" s="13"/>
      <c r="FTM2" s="13"/>
      <c r="FTN2" s="13"/>
      <c r="FTO2" s="13"/>
      <c r="FTP2" s="13"/>
      <c r="FTQ2" s="13"/>
      <c r="FTR2" s="13"/>
      <c r="FTS2" s="13"/>
      <c r="FTT2" s="13"/>
      <c r="FTU2" s="13"/>
      <c r="FTV2" s="13"/>
      <c r="FTW2" s="13"/>
      <c r="FTX2" s="13"/>
      <c r="FTY2" s="13"/>
      <c r="FTZ2" s="13"/>
      <c r="FUA2" s="13"/>
      <c r="FUB2" s="13"/>
      <c r="FUC2" s="13"/>
      <c r="FUD2" s="13"/>
      <c r="FUE2" s="13"/>
      <c r="FUF2" s="13"/>
      <c r="FUG2" s="13"/>
      <c r="FUH2" s="13"/>
      <c r="FUI2" s="13"/>
      <c r="FUJ2" s="13"/>
      <c r="FUK2" s="13"/>
      <c r="FUL2" s="13"/>
      <c r="FUM2" s="13"/>
      <c r="FUN2" s="13"/>
      <c r="FUO2" s="13"/>
      <c r="FUP2" s="13"/>
      <c r="FUQ2" s="13"/>
      <c r="FUR2" s="13"/>
      <c r="FUS2" s="13"/>
      <c r="FUT2" s="13"/>
      <c r="FUU2" s="13"/>
      <c r="FUV2" s="13"/>
      <c r="FUW2" s="13"/>
      <c r="FUX2" s="13"/>
      <c r="FUY2" s="13"/>
      <c r="FUZ2" s="13"/>
      <c r="FVA2" s="13"/>
      <c r="FVB2" s="13"/>
      <c r="FVC2" s="13"/>
      <c r="FVD2" s="13"/>
      <c r="FVE2" s="13"/>
      <c r="FVF2" s="13"/>
      <c r="FVG2" s="13"/>
      <c r="FVH2" s="13"/>
      <c r="FVI2" s="13"/>
      <c r="FVJ2" s="13"/>
      <c r="FVK2" s="13"/>
      <c r="FVL2" s="13"/>
      <c r="FVM2" s="13"/>
      <c r="FVN2" s="13"/>
      <c r="FVO2" s="13"/>
      <c r="FVP2" s="13"/>
      <c r="FVQ2" s="13"/>
      <c r="FVR2" s="13"/>
      <c r="FVS2" s="13"/>
      <c r="FVT2" s="13"/>
      <c r="FVU2" s="13"/>
      <c r="FVV2" s="13"/>
      <c r="FVW2" s="13"/>
      <c r="FVX2" s="13"/>
      <c r="FVY2" s="13"/>
      <c r="FVZ2" s="13"/>
      <c r="FWA2" s="13"/>
      <c r="FWB2" s="13"/>
      <c r="FWC2" s="13"/>
      <c r="FWD2" s="13"/>
      <c r="FWE2" s="13"/>
      <c r="FWF2" s="13"/>
      <c r="FWG2" s="13"/>
      <c r="FWH2" s="13"/>
      <c r="FWI2" s="13"/>
      <c r="FWJ2" s="13"/>
      <c r="FWK2" s="13"/>
      <c r="FWL2" s="13"/>
      <c r="FWM2" s="13"/>
      <c r="FWN2" s="13"/>
      <c r="FWO2" s="13"/>
      <c r="FWP2" s="13"/>
      <c r="FWQ2" s="13"/>
      <c r="FWR2" s="13"/>
      <c r="FWS2" s="13"/>
      <c r="FWT2" s="13"/>
      <c r="FWU2" s="13"/>
      <c r="FWV2" s="13"/>
      <c r="FWW2" s="13"/>
      <c r="FWX2" s="13"/>
      <c r="FWY2" s="13"/>
      <c r="FWZ2" s="13"/>
      <c r="FXA2" s="13"/>
      <c r="FXB2" s="13"/>
      <c r="FXC2" s="13"/>
      <c r="FXD2" s="13"/>
      <c r="FXE2" s="13"/>
      <c r="FXF2" s="13"/>
      <c r="FXG2" s="13"/>
      <c r="FXH2" s="13"/>
      <c r="FXI2" s="13"/>
      <c r="FXJ2" s="13"/>
      <c r="FXK2" s="13"/>
      <c r="FXL2" s="13"/>
      <c r="FXM2" s="13"/>
      <c r="FXN2" s="13"/>
      <c r="FXO2" s="13"/>
      <c r="FXP2" s="13"/>
      <c r="FXQ2" s="13"/>
      <c r="FXR2" s="13"/>
      <c r="FXS2" s="13"/>
      <c r="FXT2" s="13"/>
      <c r="FXU2" s="13"/>
      <c r="FXV2" s="13"/>
      <c r="FXW2" s="13"/>
      <c r="FXX2" s="13"/>
      <c r="FXY2" s="13"/>
      <c r="FXZ2" s="13"/>
      <c r="FYA2" s="13"/>
      <c r="FYB2" s="13"/>
      <c r="FYC2" s="13"/>
      <c r="FYD2" s="13"/>
      <c r="FYE2" s="13"/>
      <c r="FYF2" s="13"/>
      <c r="FYG2" s="13"/>
      <c r="FYH2" s="13"/>
      <c r="FYI2" s="13"/>
      <c r="FYJ2" s="13"/>
      <c r="FYK2" s="13"/>
      <c r="FYL2" s="13"/>
      <c r="FYM2" s="13"/>
      <c r="FYN2" s="13"/>
      <c r="FYO2" s="13"/>
      <c r="FYP2" s="13"/>
      <c r="FYQ2" s="13"/>
      <c r="FYR2" s="13"/>
      <c r="FYS2" s="13"/>
      <c r="FYT2" s="13"/>
      <c r="FYU2" s="13"/>
      <c r="FYV2" s="13"/>
      <c r="FYW2" s="13"/>
      <c r="FYX2" s="13"/>
      <c r="FYY2" s="13"/>
      <c r="FYZ2" s="13"/>
      <c r="FZA2" s="13"/>
      <c r="FZB2" s="13"/>
      <c r="FZC2" s="13"/>
      <c r="FZD2" s="13"/>
      <c r="FZE2" s="13"/>
      <c r="FZF2" s="13"/>
      <c r="FZG2" s="13"/>
      <c r="FZH2" s="13"/>
      <c r="FZI2" s="13"/>
      <c r="FZJ2" s="13"/>
      <c r="FZK2" s="13"/>
      <c r="FZL2" s="13"/>
      <c r="FZM2" s="13"/>
      <c r="FZN2" s="13"/>
      <c r="FZO2" s="13"/>
      <c r="FZP2" s="13"/>
      <c r="FZQ2" s="13"/>
      <c r="FZR2" s="13"/>
      <c r="FZS2" s="13"/>
      <c r="FZT2" s="13"/>
      <c r="FZU2" s="13"/>
      <c r="FZV2" s="13"/>
      <c r="FZW2" s="13"/>
      <c r="FZX2" s="13"/>
      <c r="FZY2" s="13"/>
      <c r="FZZ2" s="13"/>
      <c r="GAA2" s="13"/>
      <c r="GAB2" s="13"/>
      <c r="GAC2" s="13"/>
      <c r="GAD2" s="13"/>
      <c r="GAE2" s="13"/>
      <c r="GAF2" s="13"/>
      <c r="GAG2" s="13"/>
      <c r="GAH2" s="13"/>
      <c r="GAI2" s="13"/>
      <c r="GAJ2" s="13"/>
      <c r="GAK2" s="13"/>
      <c r="GAL2" s="13"/>
      <c r="GAM2" s="13"/>
      <c r="GAN2" s="13"/>
      <c r="GAO2" s="13"/>
      <c r="GAP2" s="13"/>
      <c r="GAQ2" s="13"/>
      <c r="GAR2" s="13"/>
      <c r="GAS2" s="13"/>
      <c r="GAT2" s="13"/>
      <c r="GAU2" s="13"/>
      <c r="GAV2" s="13"/>
      <c r="GAW2" s="13"/>
      <c r="GAX2" s="13"/>
      <c r="GAY2" s="13"/>
      <c r="GAZ2" s="13"/>
      <c r="GBA2" s="13"/>
      <c r="GBB2" s="13"/>
      <c r="GBC2" s="13"/>
      <c r="GBD2" s="13"/>
      <c r="GBE2" s="13"/>
      <c r="GBF2" s="13"/>
      <c r="GBG2" s="13"/>
      <c r="GBH2" s="13"/>
      <c r="GBI2" s="13"/>
      <c r="GBJ2" s="13"/>
      <c r="GBK2" s="13"/>
      <c r="GBL2" s="13"/>
      <c r="GBM2" s="13"/>
      <c r="GBN2" s="13"/>
      <c r="GBO2" s="13"/>
      <c r="GBP2" s="13"/>
      <c r="GBQ2" s="13"/>
      <c r="GBR2" s="13"/>
      <c r="GBS2" s="13"/>
      <c r="GBT2" s="13"/>
      <c r="GBU2" s="13"/>
      <c r="GBV2" s="13"/>
      <c r="GBW2" s="13"/>
      <c r="GBX2" s="13"/>
      <c r="GBY2" s="13"/>
      <c r="GBZ2" s="13"/>
      <c r="GCA2" s="13"/>
      <c r="GCB2" s="13"/>
      <c r="GCC2" s="13"/>
      <c r="GCD2" s="13"/>
      <c r="GCE2" s="13"/>
      <c r="GCF2" s="13"/>
      <c r="GCG2" s="13"/>
      <c r="GCH2" s="13"/>
      <c r="GCI2" s="13"/>
      <c r="GCJ2" s="13"/>
      <c r="GCK2" s="13"/>
      <c r="GCL2" s="13"/>
      <c r="GCM2" s="13"/>
      <c r="GCN2" s="13"/>
      <c r="GCO2" s="13"/>
      <c r="GCP2" s="13"/>
      <c r="GCQ2" s="13"/>
      <c r="GCR2" s="13"/>
      <c r="GCS2" s="13"/>
      <c r="GCT2" s="13"/>
      <c r="GCU2" s="13"/>
      <c r="GCV2" s="13"/>
      <c r="GCW2" s="13"/>
      <c r="GCX2" s="13"/>
      <c r="GCY2" s="13"/>
      <c r="GCZ2" s="13"/>
      <c r="GDA2" s="13"/>
      <c r="GDB2" s="13"/>
      <c r="GDC2" s="13"/>
      <c r="GDD2" s="13"/>
      <c r="GDE2" s="13"/>
      <c r="GDF2" s="13"/>
      <c r="GDG2" s="13"/>
      <c r="GDH2" s="13"/>
      <c r="GDI2" s="13"/>
      <c r="GDJ2" s="13"/>
      <c r="GDK2" s="13"/>
      <c r="GDL2" s="13"/>
      <c r="GDM2" s="13"/>
      <c r="GDN2" s="13"/>
      <c r="GDO2" s="13"/>
      <c r="GDP2" s="13"/>
      <c r="GDQ2" s="13"/>
      <c r="GDR2" s="13"/>
      <c r="GDS2" s="13"/>
      <c r="GDT2" s="13"/>
      <c r="GDU2" s="13"/>
      <c r="GDV2" s="13"/>
      <c r="GDW2" s="13"/>
      <c r="GDX2" s="13"/>
      <c r="GDY2" s="13"/>
      <c r="GDZ2" s="13"/>
      <c r="GEA2" s="13"/>
      <c r="GEB2" s="13"/>
      <c r="GEC2" s="13"/>
      <c r="GED2" s="13"/>
      <c r="GEE2" s="13"/>
      <c r="GEF2" s="13"/>
      <c r="GEG2" s="13"/>
      <c r="GEH2" s="13"/>
      <c r="GEI2" s="13"/>
      <c r="GEJ2" s="13"/>
      <c r="GEK2" s="13"/>
      <c r="GEL2" s="13"/>
      <c r="GEM2" s="13"/>
      <c r="GEN2" s="13"/>
      <c r="GEO2" s="13"/>
      <c r="GEP2" s="13"/>
      <c r="GEQ2" s="13"/>
      <c r="GER2" s="13"/>
      <c r="GES2" s="13"/>
      <c r="GET2" s="13"/>
      <c r="GEU2" s="13"/>
      <c r="GEV2" s="13"/>
      <c r="GEW2" s="13"/>
      <c r="GEX2" s="13"/>
      <c r="GEY2" s="13"/>
      <c r="GEZ2" s="13"/>
      <c r="GFA2" s="13"/>
      <c r="GFB2" s="13"/>
      <c r="GFC2" s="13"/>
      <c r="GFD2" s="13"/>
      <c r="GFE2" s="13"/>
      <c r="GFF2" s="13"/>
      <c r="GFG2" s="13"/>
      <c r="GFH2" s="13"/>
      <c r="GFI2" s="13"/>
      <c r="GFJ2" s="13"/>
      <c r="GFK2" s="13"/>
      <c r="GFL2" s="13"/>
      <c r="GFM2" s="13"/>
      <c r="GFN2" s="13"/>
      <c r="GFO2" s="13"/>
      <c r="GFP2" s="13"/>
      <c r="GFQ2" s="13"/>
      <c r="GFR2" s="13"/>
      <c r="GFS2" s="13"/>
      <c r="GFT2" s="13"/>
      <c r="GFU2" s="13"/>
      <c r="GFV2" s="13"/>
      <c r="GFW2" s="13"/>
      <c r="GFX2" s="13"/>
      <c r="GFY2" s="13"/>
      <c r="GFZ2" s="13"/>
      <c r="GGA2" s="13"/>
      <c r="GGB2" s="13"/>
      <c r="GGC2" s="13"/>
      <c r="GGD2" s="13"/>
      <c r="GGE2" s="13"/>
      <c r="GGF2" s="13"/>
      <c r="GGG2" s="13"/>
      <c r="GGH2" s="13"/>
      <c r="GGI2" s="13"/>
      <c r="GGJ2" s="13"/>
      <c r="GGK2" s="13"/>
      <c r="GGL2" s="13"/>
      <c r="GGM2" s="13"/>
      <c r="GGN2" s="13"/>
      <c r="GGO2" s="13"/>
      <c r="GGP2" s="13"/>
      <c r="GGQ2" s="13"/>
      <c r="GGR2" s="13"/>
      <c r="GGS2" s="13"/>
      <c r="GGT2" s="13"/>
      <c r="GGU2" s="13"/>
      <c r="GGV2" s="13"/>
      <c r="GGW2" s="13"/>
      <c r="GGX2" s="13"/>
      <c r="GGY2" s="13"/>
      <c r="GGZ2" s="13"/>
      <c r="GHA2" s="13"/>
      <c r="GHB2" s="13"/>
      <c r="GHC2" s="13"/>
      <c r="GHD2" s="13"/>
      <c r="GHE2" s="13"/>
      <c r="GHF2" s="13"/>
      <c r="GHG2" s="13"/>
      <c r="GHH2" s="13"/>
      <c r="GHI2" s="13"/>
      <c r="GHJ2" s="13"/>
      <c r="GHK2" s="13"/>
      <c r="GHL2" s="13"/>
      <c r="GHM2" s="13"/>
      <c r="GHN2" s="13"/>
      <c r="GHO2" s="13"/>
      <c r="GHP2" s="13"/>
      <c r="GHQ2" s="13"/>
      <c r="GHR2" s="13"/>
      <c r="GHS2" s="13"/>
      <c r="GHT2" s="13"/>
      <c r="GHU2" s="13"/>
      <c r="GHV2" s="13"/>
      <c r="GHW2" s="13"/>
      <c r="GHX2" s="13"/>
      <c r="GHY2" s="13"/>
      <c r="GHZ2" s="13"/>
      <c r="GIA2" s="13"/>
      <c r="GIB2" s="13"/>
      <c r="GIC2" s="13"/>
      <c r="GID2" s="13"/>
      <c r="GIE2" s="13"/>
      <c r="GIF2" s="13"/>
      <c r="GIG2" s="13"/>
      <c r="GIH2" s="13"/>
      <c r="GII2" s="13"/>
      <c r="GIJ2" s="13"/>
      <c r="GIK2" s="13"/>
      <c r="GIL2" s="13"/>
      <c r="GIM2" s="13"/>
      <c r="GIN2" s="13"/>
      <c r="GIO2" s="13"/>
      <c r="GIP2" s="13"/>
      <c r="GIQ2" s="13"/>
      <c r="GIR2" s="13"/>
      <c r="GIS2" s="13"/>
      <c r="GIT2" s="13"/>
      <c r="GIU2" s="13"/>
      <c r="GIV2" s="13"/>
      <c r="GIW2" s="13"/>
      <c r="GIX2" s="13"/>
      <c r="GIY2" s="13"/>
      <c r="GIZ2" s="13"/>
      <c r="GJA2" s="13"/>
      <c r="GJB2" s="13"/>
      <c r="GJC2" s="13"/>
      <c r="GJD2" s="13"/>
      <c r="GJE2" s="13"/>
      <c r="GJF2" s="13"/>
      <c r="GJG2" s="13"/>
      <c r="GJH2" s="13"/>
      <c r="GJI2" s="13"/>
      <c r="GJJ2" s="13"/>
      <c r="GJK2" s="13"/>
      <c r="GJL2" s="13"/>
      <c r="GJM2" s="13"/>
      <c r="GJN2" s="13"/>
      <c r="GJO2" s="13"/>
      <c r="GJP2" s="13"/>
      <c r="GJQ2" s="13"/>
      <c r="GJR2" s="13"/>
      <c r="GJS2" s="13"/>
      <c r="GJT2" s="13"/>
      <c r="GJU2" s="13"/>
      <c r="GJV2" s="13"/>
      <c r="GJW2" s="13"/>
      <c r="GJX2" s="13"/>
      <c r="GJY2" s="13"/>
      <c r="GJZ2" s="13"/>
      <c r="GKA2" s="13"/>
      <c r="GKB2" s="13"/>
      <c r="GKC2" s="13"/>
      <c r="GKD2" s="13"/>
      <c r="GKE2" s="13"/>
      <c r="GKF2" s="13"/>
      <c r="GKG2" s="13"/>
      <c r="GKH2" s="13"/>
      <c r="GKI2" s="13"/>
      <c r="GKJ2" s="13"/>
      <c r="GKK2" s="13"/>
      <c r="GKL2" s="13"/>
      <c r="GKM2" s="13"/>
      <c r="GKN2" s="13"/>
      <c r="GKO2" s="13"/>
      <c r="GKP2" s="13"/>
      <c r="GKQ2" s="13"/>
      <c r="GKR2" s="13"/>
      <c r="GKS2" s="13"/>
      <c r="GKT2" s="13"/>
      <c r="GKU2" s="13"/>
      <c r="GKV2" s="13"/>
      <c r="GKW2" s="13"/>
      <c r="GKX2" s="13"/>
      <c r="GKY2" s="13"/>
      <c r="GKZ2" s="13"/>
      <c r="GLA2" s="13"/>
      <c r="GLB2" s="13"/>
      <c r="GLC2" s="13"/>
      <c r="GLD2" s="13"/>
      <c r="GLE2" s="13"/>
      <c r="GLF2" s="13"/>
      <c r="GLG2" s="13"/>
      <c r="GLH2" s="13"/>
      <c r="GLI2" s="13"/>
      <c r="GLJ2" s="13"/>
      <c r="GLK2" s="13"/>
      <c r="GLL2" s="13"/>
      <c r="GLM2" s="13"/>
      <c r="GLN2" s="13"/>
      <c r="GLO2" s="13"/>
      <c r="GLP2" s="13"/>
      <c r="GLQ2" s="13"/>
      <c r="GLR2" s="13"/>
      <c r="GLS2" s="13"/>
      <c r="GLT2" s="13"/>
      <c r="GLU2" s="13"/>
      <c r="GLV2" s="13"/>
      <c r="GLW2" s="13"/>
      <c r="GLX2" s="13"/>
      <c r="GLY2" s="13"/>
      <c r="GLZ2" s="13"/>
      <c r="GMA2" s="13"/>
      <c r="GMB2" s="13"/>
      <c r="GMC2" s="13"/>
      <c r="GMD2" s="13"/>
      <c r="GME2" s="13"/>
      <c r="GMF2" s="13"/>
      <c r="GMG2" s="13"/>
      <c r="GMH2" s="13"/>
      <c r="GMI2" s="13"/>
      <c r="GMJ2" s="13"/>
      <c r="GMK2" s="13"/>
      <c r="GML2" s="13"/>
      <c r="GMM2" s="13"/>
      <c r="GMN2" s="13"/>
      <c r="GMO2" s="13"/>
      <c r="GMP2" s="13"/>
      <c r="GMQ2" s="13"/>
      <c r="GMR2" s="13"/>
      <c r="GMS2" s="13"/>
      <c r="GMT2" s="13"/>
      <c r="GMU2" s="13"/>
      <c r="GMV2" s="13"/>
      <c r="GMW2" s="13"/>
      <c r="GMX2" s="13"/>
      <c r="GMY2" s="13"/>
      <c r="GMZ2" s="13"/>
      <c r="GNA2" s="13"/>
      <c r="GNB2" s="13"/>
      <c r="GNC2" s="13"/>
      <c r="GND2" s="13"/>
      <c r="GNE2" s="13"/>
      <c r="GNF2" s="13"/>
      <c r="GNG2" s="13"/>
      <c r="GNH2" s="13"/>
      <c r="GNI2" s="13"/>
      <c r="GNJ2" s="13"/>
      <c r="GNK2" s="13"/>
      <c r="GNL2" s="13"/>
      <c r="GNM2" s="13"/>
      <c r="GNN2" s="13"/>
      <c r="GNO2" s="13"/>
      <c r="GNP2" s="13"/>
      <c r="GNQ2" s="13"/>
      <c r="GNR2" s="13"/>
      <c r="GNS2" s="13"/>
      <c r="GNT2" s="13"/>
      <c r="GNU2" s="13"/>
      <c r="GNV2" s="13"/>
      <c r="GNW2" s="13"/>
      <c r="GNX2" s="13"/>
      <c r="GNY2" s="13"/>
      <c r="GNZ2" s="13"/>
      <c r="GOA2" s="13"/>
      <c r="GOB2" s="13"/>
      <c r="GOC2" s="13"/>
      <c r="GOD2" s="13"/>
      <c r="GOE2" s="13"/>
      <c r="GOF2" s="13"/>
      <c r="GOG2" s="13"/>
      <c r="GOH2" s="13"/>
      <c r="GOI2" s="13"/>
      <c r="GOJ2" s="13"/>
      <c r="GOK2" s="13"/>
      <c r="GOL2" s="13"/>
      <c r="GOM2" s="13"/>
      <c r="GON2" s="13"/>
      <c r="GOO2" s="13"/>
      <c r="GOP2" s="13"/>
      <c r="GOQ2" s="13"/>
      <c r="GOR2" s="13"/>
      <c r="GOS2" s="13"/>
      <c r="GOT2" s="13"/>
      <c r="GOU2" s="13"/>
      <c r="GOV2" s="13"/>
      <c r="GOW2" s="13"/>
      <c r="GOX2" s="13"/>
      <c r="GOY2" s="13"/>
      <c r="GOZ2" s="13"/>
      <c r="GPA2" s="13"/>
      <c r="GPB2" s="13"/>
      <c r="GPC2" s="13"/>
      <c r="GPD2" s="13"/>
      <c r="GPE2" s="13"/>
      <c r="GPF2" s="13"/>
      <c r="GPG2" s="13"/>
      <c r="GPH2" s="13"/>
      <c r="GPI2" s="13"/>
      <c r="GPJ2" s="13"/>
      <c r="GPK2" s="13"/>
      <c r="GPL2" s="13"/>
      <c r="GPM2" s="13"/>
      <c r="GPN2" s="13"/>
      <c r="GPO2" s="13"/>
      <c r="GPP2" s="13"/>
      <c r="GPQ2" s="13"/>
      <c r="GPR2" s="13"/>
      <c r="GPS2" s="13"/>
      <c r="GPT2" s="13"/>
      <c r="GPU2" s="13"/>
      <c r="GPV2" s="13"/>
      <c r="GPW2" s="13"/>
      <c r="GPX2" s="13"/>
      <c r="GPY2" s="13"/>
      <c r="GPZ2" s="13"/>
      <c r="GQA2" s="13"/>
      <c r="GQB2" s="13"/>
      <c r="GQC2" s="13"/>
      <c r="GQD2" s="13"/>
      <c r="GQE2" s="13"/>
      <c r="GQF2" s="13"/>
      <c r="GQG2" s="13"/>
      <c r="GQH2" s="13"/>
      <c r="GQI2" s="13"/>
      <c r="GQJ2" s="13"/>
      <c r="GQK2" s="13"/>
      <c r="GQL2" s="13"/>
      <c r="GQM2" s="13"/>
      <c r="GQN2" s="13"/>
      <c r="GQO2" s="13"/>
      <c r="GQP2" s="13"/>
      <c r="GQQ2" s="13"/>
      <c r="GQR2" s="13"/>
      <c r="GQS2" s="13"/>
      <c r="GQT2" s="13"/>
      <c r="GQU2" s="13"/>
      <c r="GQV2" s="13"/>
      <c r="GQW2" s="13"/>
      <c r="GQX2" s="13"/>
      <c r="GQY2" s="13"/>
      <c r="GQZ2" s="13"/>
      <c r="GRA2" s="13"/>
      <c r="GRB2" s="13"/>
      <c r="GRC2" s="13"/>
      <c r="GRD2" s="13"/>
      <c r="GRE2" s="13"/>
      <c r="GRF2" s="13"/>
      <c r="GRG2" s="13"/>
      <c r="GRH2" s="13"/>
      <c r="GRI2" s="13"/>
      <c r="GRJ2" s="13"/>
      <c r="GRK2" s="13"/>
      <c r="GRL2" s="13"/>
      <c r="GRM2" s="13"/>
      <c r="GRN2" s="13"/>
      <c r="GRO2" s="13"/>
      <c r="GRP2" s="13"/>
      <c r="GRQ2" s="13"/>
      <c r="GRR2" s="13"/>
      <c r="GRS2" s="13"/>
      <c r="GRT2" s="13"/>
      <c r="GRU2" s="13"/>
      <c r="GRV2" s="13"/>
      <c r="GRW2" s="13"/>
      <c r="GRX2" s="13"/>
      <c r="GRY2" s="13"/>
      <c r="GRZ2" s="13"/>
      <c r="GSA2" s="13"/>
      <c r="GSB2" s="13"/>
      <c r="GSC2" s="13"/>
      <c r="GSD2" s="13"/>
      <c r="GSE2" s="13"/>
      <c r="GSF2" s="13"/>
      <c r="GSG2" s="13"/>
      <c r="GSH2" s="13"/>
      <c r="GSI2" s="13"/>
      <c r="GSJ2" s="13"/>
      <c r="GSK2" s="13"/>
      <c r="GSL2" s="13"/>
      <c r="GSM2" s="13"/>
      <c r="GSN2" s="13"/>
      <c r="GSO2" s="13"/>
      <c r="GSP2" s="13"/>
      <c r="GSQ2" s="13"/>
      <c r="GSR2" s="13"/>
      <c r="GSS2" s="13"/>
      <c r="GST2" s="13"/>
      <c r="GSU2" s="13"/>
      <c r="GSV2" s="13"/>
      <c r="GSW2" s="13"/>
      <c r="GSX2" s="13"/>
      <c r="GSY2" s="13"/>
      <c r="GSZ2" s="13"/>
      <c r="GTA2" s="13"/>
      <c r="GTB2" s="13"/>
      <c r="GTC2" s="13"/>
      <c r="GTD2" s="13"/>
      <c r="GTE2" s="13"/>
      <c r="GTF2" s="13"/>
      <c r="GTG2" s="13"/>
      <c r="GTH2" s="13"/>
      <c r="GTI2" s="13"/>
      <c r="GTJ2" s="13"/>
      <c r="GTK2" s="13"/>
      <c r="GTL2" s="13"/>
      <c r="GTM2" s="13"/>
      <c r="GTN2" s="13"/>
      <c r="GTO2" s="13"/>
      <c r="GTP2" s="13"/>
      <c r="GTQ2" s="13"/>
      <c r="GTR2" s="13"/>
      <c r="GTS2" s="13"/>
      <c r="GTT2" s="13"/>
      <c r="GTU2" s="13"/>
      <c r="GTV2" s="13"/>
      <c r="GTW2" s="13"/>
      <c r="GTX2" s="13"/>
      <c r="GTY2" s="13"/>
      <c r="GTZ2" s="13"/>
      <c r="GUA2" s="13"/>
      <c r="GUB2" s="13"/>
      <c r="GUC2" s="13"/>
      <c r="GUD2" s="13"/>
      <c r="GUE2" s="13"/>
      <c r="GUF2" s="13"/>
      <c r="GUG2" s="13"/>
      <c r="GUH2" s="13"/>
      <c r="GUI2" s="13"/>
      <c r="GUJ2" s="13"/>
      <c r="GUK2" s="13"/>
      <c r="GUL2" s="13"/>
      <c r="GUM2" s="13"/>
      <c r="GUN2" s="13"/>
      <c r="GUO2" s="13"/>
      <c r="GUP2" s="13"/>
      <c r="GUQ2" s="13"/>
      <c r="GUR2" s="13"/>
      <c r="GUS2" s="13"/>
      <c r="GUT2" s="13"/>
      <c r="GUU2" s="13"/>
      <c r="GUV2" s="13"/>
      <c r="GUW2" s="13"/>
      <c r="GUX2" s="13"/>
      <c r="GUY2" s="13"/>
      <c r="GUZ2" s="13"/>
      <c r="GVA2" s="13"/>
      <c r="GVB2" s="13"/>
      <c r="GVC2" s="13"/>
      <c r="GVD2" s="13"/>
      <c r="GVE2" s="13"/>
      <c r="GVF2" s="13"/>
      <c r="GVG2" s="13"/>
      <c r="GVH2" s="13"/>
      <c r="GVI2" s="13"/>
      <c r="GVJ2" s="13"/>
      <c r="GVK2" s="13"/>
      <c r="GVL2" s="13"/>
      <c r="GVM2" s="13"/>
      <c r="GVN2" s="13"/>
      <c r="GVO2" s="13"/>
      <c r="GVP2" s="13"/>
      <c r="GVQ2" s="13"/>
      <c r="GVR2" s="13"/>
      <c r="GVS2" s="13"/>
      <c r="GVT2" s="13"/>
      <c r="GVU2" s="13"/>
      <c r="GVV2" s="13"/>
      <c r="GVW2" s="13"/>
      <c r="GVX2" s="13"/>
      <c r="GVY2" s="13"/>
      <c r="GVZ2" s="13"/>
      <c r="GWA2" s="13"/>
      <c r="GWB2" s="13"/>
      <c r="GWC2" s="13"/>
      <c r="GWD2" s="13"/>
      <c r="GWE2" s="13"/>
      <c r="GWF2" s="13"/>
      <c r="GWG2" s="13"/>
      <c r="GWH2" s="13"/>
      <c r="GWI2" s="13"/>
      <c r="GWJ2" s="13"/>
      <c r="GWK2" s="13"/>
      <c r="GWL2" s="13"/>
      <c r="GWM2" s="13"/>
      <c r="GWN2" s="13"/>
      <c r="GWO2" s="13"/>
      <c r="GWP2" s="13"/>
      <c r="GWQ2" s="13"/>
      <c r="GWR2" s="13"/>
      <c r="GWS2" s="13"/>
      <c r="GWT2" s="13"/>
      <c r="GWU2" s="13"/>
      <c r="GWV2" s="13"/>
      <c r="GWW2" s="13"/>
      <c r="GWX2" s="13"/>
      <c r="GWY2" s="13"/>
      <c r="GWZ2" s="13"/>
      <c r="GXA2" s="13"/>
      <c r="GXB2" s="13"/>
      <c r="GXC2" s="13"/>
      <c r="GXD2" s="13"/>
      <c r="GXE2" s="13"/>
      <c r="GXF2" s="13"/>
      <c r="GXG2" s="13"/>
      <c r="GXH2" s="13"/>
      <c r="GXI2" s="13"/>
      <c r="GXJ2" s="13"/>
      <c r="GXK2" s="13"/>
      <c r="GXL2" s="13"/>
      <c r="GXM2" s="13"/>
      <c r="GXN2" s="13"/>
      <c r="GXO2" s="13"/>
      <c r="GXP2" s="13"/>
      <c r="GXQ2" s="13"/>
      <c r="GXR2" s="13"/>
      <c r="GXS2" s="13"/>
      <c r="GXT2" s="13"/>
      <c r="GXU2" s="13"/>
      <c r="GXV2" s="13"/>
      <c r="GXW2" s="13"/>
      <c r="GXX2" s="13"/>
      <c r="GXY2" s="13"/>
      <c r="GXZ2" s="13"/>
      <c r="GYA2" s="13"/>
      <c r="GYB2" s="13"/>
      <c r="GYC2" s="13"/>
      <c r="GYD2" s="13"/>
      <c r="GYE2" s="13"/>
      <c r="GYF2" s="13"/>
      <c r="GYG2" s="13"/>
      <c r="GYH2" s="13"/>
      <c r="GYI2" s="13"/>
      <c r="GYJ2" s="13"/>
      <c r="GYK2" s="13"/>
      <c r="GYL2" s="13"/>
      <c r="GYM2" s="13"/>
      <c r="GYN2" s="13"/>
      <c r="GYO2" s="13"/>
      <c r="GYP2" s="13"/>
      <c r="GYQ2" s="13"/>
      <c r="GYR2" s="13"/>
      <c r="GYS2" s="13"/>
      <c r="GYT2" s="13"/>
      <c r="GYU2" s="13"/>
      <c r="GYV2" s="13"/>
      <c r="GYW2" s="13"/>
      <c r="GYX2" s="13"/>
      <c r="GYY2" s="13"/>
      <c r="GYZ2" s="13"/>
      <c r="GZA2" s="13"/>
      <c r="GZB2" s="13"/>
      <c r="GZC2" s="13"/>
      <c r="GZD2" s="13"/>
      <c r="GZE2" s="13"/>
      <c r="GZF2" s="13"/>
      <c r="GZG2" s="13"/>
      <c r="GZH2" s="13"/>
      <c r="GZI2" s="13"/>
      <c r="GZJ2" s="13"/>
      <c r="GZK2" s="13"/>
      <c r="GZL2" s="13"/>
      <c r="GZM2" s="13"/>
      <c r="GZN2" s="13"/>
      <c r="GZO2" s="13"/>
      <c r="GZP2" s="13"/>
      <c r="GZQ2" s="13"/>
      <c r="GZR2" s="13"/>
      <c r="GZS2" s="13"/>
      <c r="GZT2" s="13"/>
      <c r="GZU2" s="13"/>
      <c r="GZV2" s="13"/>
      <c r="GZW2" s="13"/>
      <c r="GZX2" s="13"/>
      <c r="GZY2" s="13"/>
      <c r="GZZ2" s="13"/>
      <c r="HAA2" s="13"/>
      <c r="HAB2" s="13"/>
      <c r="HAC2" s="13"/>
      <c r="HAD2" s="13"/>
      <c r="HAE2" s="13"/>
      <c r="HAF2" s="13"/>
      <c r="HAG2" s="13"/>
      <c r="HAH2" s="13"/>
      <c r="HAI2" s="13"/>
      <c r="HAJ2" s="13"/>
      <c r="HAK2" s="13"/>
      <c r="HAL2" s="13"/>
      <c r="HAM2" s="13"/>
      <c r="HAN2" s="13"/>
      <c r="HAO2" s="13"/>
      <c r="HAP2" s="13"/>
      <c r="HAQ2" s="13"/>
      <c r="HAR2" s="13"/>
      <c r="HAS2" s="13"/>
      <c r="HAT2" s="13"/>
      <c r="HAU2" s="13"/>
      <c r="HAV2" s="13"/>
      <c r="HAW2" s="13"/>
      <c r="HAX2" s="13"/>
      <c r="HAY2" s="13"/>
      <c r="HAZ2" s="13"/>
      <c r="HBA2" s="13"/>
      <c r="HBB2" s="13"/>
      <c r="HBC2" s="13"/>
      <c r="HBD2" s="13"/>
      <c r="HBE2" s="13"/>
      <c r="HBF2" s="13"/>
      <c r="HBG2" s="13"/>
      <c r="HBH2" s="13"/>
      <c r="HBI2" s="13"/>
      <c r="HBJ2" s="13"/>
      <c r="HBK2" s="13"/>
      <c r="HBL2" s="13"/>
      <c r="HBM2" s="13"/>
      <c r="HBN2" s="13"/>
      <c r="HBO2" s="13"/>
      <c r="HBP2" s="13"/>
      <c r="HBQ2" s="13"/>
      <c r="HBR2" s="13"/>
      <c r="HBS2" s="13"/>
      <c r="HBT2" s="13"/>
      <c r="HBU2" s="13"/>
      <c r="HBV2" s="13"/>
      <c r="HBW2" s="13"/>
      <c r="HBX2" s="13"/>
      <c r="HBY2" s="13"/>
      <c r="HBZ2" s="13"/>
      <c r="HCA2" s="13"/>
      <c r="HCB2" s="13"/>
      <c r="HCC2" s="13"/>
      <c r="HCD2" s="13"/>
      <c r="HCE2" s="13"/>
      <c r="HCF2" s="13"/>
      <c r="HCG2" s="13"/>
      <c r="HCH2" s="13"/>
      <c r="HCI2" s="13"/>
      <c r="HCJ2" s="13"/>
      <c r="HCK2" s="13"/>
      <c r="HCL2" s="13"/>
      <c r="HCM2" s="13"/>
      <c r="HCN2" s="13"/>
      <c r="HCO2" s="13"/>
      <c r="HCP2" s="13"/>
      <c r="HCQ2" s="13"/>
      <c r="HCR2" s="13"/>
      <c r="HCS2" s="13"/>
      <c r="HCT2" s="13"/>
      <c r="HCU2" s="13"/>
      <c r="HCV2" s="13"/>
      <c r="HCW2" s="13"/>
      <c r="HCX2" s="13"/>
      <c r="HCY2" s="13"/>
      <c r="HCZ2" s="13"/>
      <c r="HDA2" s="13"/>
      <c r="HDB2" s="13"/>
      <c r="HDC2" s="13"/>
      <c r="HDD2" s="13"/>
      <c r="HDE2" s="13"/>
      <c r="HDF2" s="13"/>
      <c r="HDG2" s="13"/>
      <c r="HDH2" s="13"/>
      <c r="HDI2" s="13"/>
      <c r="HDJ2" s="13"/>
      <c r="HDK2" s="13"/>
      <c r="HDL2" s="13"/>
      <c r="HDM2" s="13"/>
      <c r="HDN2" s="13"/>
      <c r="HDO2" s="13"/>
      <c r="HDP2" s="13"/>
      <c r="HDQ2" s="13"/>
      <c r="HDR2" s="13"/>
      <c r="HDS2" s="13"/>
      <c r="HDT2" s="13"/>
      <c r="HDU2" s="13"/>
      <c r="HDV2" s="13"/>
      <c r="HDW2" s="13"/>
      <c r="HDX2" s="13"/>
      <c r="HDY2" s="13"/>
      <c r="HDZ2" s="13"/>
      <c r="HEA2" s="13"/>
      <c r="HEB2" s="13"/>
      <c r="HEC2" s="13"/>
      <c r="HED2" s="13"/>
      <c r="HEE2" s="13"/>
      <c r="HEF2" s="13"/>
      <c r="HEG2" s="13"/>
      <c r="HEH2" s="13"/>
      <c r="HEI2" s="13"/>
      <c r="HEJ2" s="13"/>
      <c r="HEK2" s="13"/>
      <c r="HEL2" s="13"/>
      <c r="HEM2" s="13"/>
      <c r="HEN2" s="13"/>
      <c r="HEO2" s="13"/>
      <c r="HEP2" s="13"/>
      <c r="HEQ2" s="13"/>
      <c r="HER2" s="13"/>
      <c r="HES2" s="13"/>
      <c r="HET2" s="13"/>
      <c r="HEU2" s="13"/>
      <c r="HEV2" s="13"/>
      <c r="HEW2" s="13"/>
      <c r="HEX2" s="13"/>
      <c r="HEY2" s="13"/>
      <c r="HEZ2" s="13"/>
      <c r="HFA2" s="13"/>
      <c r="HFB2" s="13"/>
      <c r="HFC2" s="13"/>
      <c r="HFD2" s="13"/>
      <c r="HFE2" s="13"/>
      <c r="HFF2" s="13"/>
      <c r="HFG2" s="13"/>
      <c r="HFH2" s="13"/>
      <c r="HFI2" s="13"/>
      <c r="HFJ2" s="13"/>
      <c r="HFK2" s="13"/>
      <c r="HFL2" s="13"/>
      <c r="HFM2" s="13"/>
      <c r="HFN2" s="13"/>
      <c r="HFO2" s="13"/>
      <c r="HFP2" s="13"/>
      <c r="HFQ2" s="13"/>
      <c r="HFR2" s="13"/>
      <c r="HFS2" s="13"/>
      <c r="HFT2" s="13"/>
      <c r="HFU2" s="13"/>
      <c r="HFV2" s="13"/>
      <c r="HFW2" s="13"/>
      <c r="HFX2" s="13"/>
      <c r="HFY2" s="13"/>
      <c r="HFZ2" s="13"/>
      <c r="HGA2" s="13"/>
      <c r="HGB2" s="13"/>
      <c r="HGC2" s="13"/>
      <c r="HGD2" s="13"/>
      <c r="HGE2" s="13"/>
      <c r="HGF2" s="13"/>
      <c r="HGG2" s="13"/>
      <c r="HGH2" s="13"/>
      <c r="HGI2" s="13"/>
      <c r="HGJ2" s="13"/>
      <c r="HGK2" s="13"/>
      <c r="HGL2" s="13"/>
      <c r="HGM2" s="13"/>
      <c r="HGN2" s="13"/>
      <c r="HGO2" s="13"/>
      <c r="HGP2" s="13"/>
      <c r="HGQ2" s="13"/>
      <c r="HGR2" s="13"/>
      <c r="HGS2" s="13"/>
      <c r="HGT2" s="13"/>
      <c r="HGU2" s="13"/>
      <c r="HGV2" s="13"/>
      <c r="HGW2" s="13"/>
      <c r="HGX2" s="13"/>
      <c r="HGY2" s="13"/>
      <c r="HGZ2" s="13"/>
      <c r="HHA2" s="13"/>
      <c r="HHB2" s="13"/>
      <c r="HHC2" s="13"/>
      <c r="HHD2" s="13"/>
      <c r="HHE2" s="13"/>
      <c r="HHF2" s="13"/>
      <c r="HHG2" s="13"/>
      <c r="HHH2" s="13"/>
      <c r="HHI2" s="13"/>
      <c r="HHJ2" s="13"/>
      <c r="HHK2" s="13"/>
      <c r="HHL2" s="13"/>
      <c r="HHM2" s="13"/>
      <c r="HHN2" s="13"/>
      <c r="HHO2" s="13"/>
      <c r="HHP2" s="13"/>
      <c r="HHQ2" s="13"/>
      <c r="HHR2" s="13"/>
      <c r="HHS2" s="13"/>
      <c r="HHT2" s="13"/>
      <c r="HHU2" s="13"/>
      <c r="HHV2" s="13"/>
      <c r="HHW2" s="13"/>
      <c r="HHX2" s="13"/>
      <c r="HHY2" s="13"/>
      <c r="HHZ2" s="13"/>
      <c r="HIA2" s="13"/>
      <c r="HIB2" s="13"/>
      <c r="HIC2" s="13"/>
      <c r="HID2" s="13"/>
      <c r="HIE2" s="13"/>
      <c r="HIF2" s="13"/>
      <c r="HIG2" s="13"/>
      <c r="HIH2" s="13"/>
      <c r="HII2" s="13"/>
      <c r="HIJ2" s="13"/>
      <c r="HIK2" s="13"/>
      <c r="HIL2" s="13"/>
      <c r="HIM2" s="13"/>
      <c r="HIN2" s="13"/>
      <c r="HIO2" s="13"/>
      <c r="HIP2" s="13"/>
      <c r="HIQ2" s="13"/>
      <c r="HIR2" s="13"/>
      <c r="HIS2" s="13"/>
      <c r="HIT2" s="13"/>
      <c r="HIU2" s="13"/>
      <c r="HIV2" s="13"/>
      <c r="HIW2" s="13"/>
      <c r="HIX2" s="13"/>
      <c r="HIY2" s="13"/>
      <c r="HIZ2" s="13"/>
      <c r="HJA2" s="13"/>
      <c r="HJB2" s="13"/>
      <c r="HJC2" s="13"/>
      <c r="HJD2" s="13"/>
      <c r="HJE2" s="13"/>
      <c r="HJF2" s="13"/>
      <c r="HJG2" s="13"/>
      <c r="HJH2" s="13"/>
      <c r="HJI2" s="13"/>
      <c r="HJJ2" s="13"/>
      <c r="HJK2" s="13"/>
      <c r="HJL2" s="13"/>
      <c r="HJM2" s="13"/>
      <c r="HJN2" s="13"/>
      <c r="HJO2" s="13"/>
      <c r="HJP2" s="13"/>
      <c r="HJQ2" s="13"/>
      <c r="HJR2" s="13"/>
      <c r="HJS2" s="13"/>
      <c r="HJT2" s="13"/>
      <c r="HJU2" s="13"/>
      <c r="HJV2" s="13"/>
      <c r="HJW2" s="13"/>
      <c r="HJX2" s="13"/>
      <c r="HJY2" s="13"/>
      <c r="HJZ2" s="13"/>
      <c r="HKA2" s="13"/>
      <c r="HKB2" s="13"/>
      <c r="HKC2" s="13"/>
      <c r="HKD2" s="13"/>
      <c r="HKE2" s="13"/>
      <c r="HKF2" s="13"/>
      <c r="HKG2" s="13"/>
      <c r="HKH2" s="13"/>
      <c r="HKI2" s="13"/>
      <c r="HKJ2" s="13"/>
      <c r="HKK2" s="13"/>
      <c r="HKL2" s="13"/>
      <c r="HKM2" s="13"/>
      <c r="HKN2" s="13"/>
      <c r="HKO2" s="13"/>
      <c r="HKP2" s="13"/>
      <c r="HKQ2" s="13"/>
      <c r="HKR2" s="13"/>
      <c r="HKS2" s="13"/>
      <c r="HKT2" s="13"/>
      <c r="HKU2" s="13"/>
      <c r="HKV2" s="13"/>
      <c r="HKW2" s="13"/>
      <c r="HKX2" s="13"/>
      <c r="HKY2" s="13"/>
      <c r="HKZ2" s="13"/>
      <c r="HLA2" s="13"/>
      <c r="HLB2" s="13"/>
      <c r="HLC2" s="13"/>
      <c r="HLD2" s="13"/>
      <c r="HLE2" s="13"/>
      <c r="HLF2" s="13"/>
      <c r="HLG2" s="13"/>
      <c r="HLH2" s="13"/>
      <c r="HLI2" s="13"/>
      <c r="HLJ2" s="13"/>
      <c r="HLK2" s="13"/>
      <c r="HLL2" s="13"/>
      <c r="HLM2" s="13"/>
      <c r="HLN2" s="13"/>
      <c r="HLO2" s="13"/>
      <c r="HLP2" s="13"/>
      <c r="HLQ2" s="13"/>
      <c r="HLR2" s="13"/>
      <c r="HLS2" s="13"/>
      <c r="HLT2" s="13"/>
      <c r="HLU2" s="13"/>
      <c r="HLV2" s="13"/>
      <c r="HLW2" s="13"/>
      <c r="HLX2" s="13"/>
      <c r="HLY2" s="13"/>
      <c r="HLZ2" s="13"/>
      <c r="HMA2" s="13"/>
      <c r="HMB2" s="13"/>
      <c r="HMC2" s="13"/>
      <c r="HMD2" s="13"/>
      <c r="HME2" s="13"/>
      <c r="HMF2" s="13"/>
      <c r="HMG2" s="13"/>
      <c r="HMH2" s="13"/>
      <c r="HMI2" s="13"/>
      <c r="HMJ2" s="13"/>
      <c r="HMK2" s="13"/>
      <c r="HML2" s="13"/>
      <c r="HMM2" s="13"/>
      <c r="HMN2" s="13"/>
      <c r="HMO2" s="13"/>
      <c r="HMP2" s="13"/>
      <c r="HMQ2" s="13"/>
      <c r="HMR2" s="13"/>
      <c r="HMS2" s="13"/>
      <c r="HMT2" s="13"/>
      <c r="HMU2" s="13"/>
      <c r="HMV2" s="13"/>
      <c r="HMW2" s="13"/>
      <c r="HMX2" s="13"/>
      <c r="HMY2" s="13"/>
      <c r="HMZ2" s="13"/>
      <c r="HNA2" s="13"/>
      <c r="HNB2" s="13"/>
      <c r="HNC2" s="13"/>
      <c r="HND2" s="13"/>
      <c r="HNE2" s="13"/>
      <c r="HNF2" s="13"/>
      <c r="HNG2" s="13"/>
      <c r="HNH2" s="13"/>
      <c r="HNI2" s="13"/>
      <c r="HNJ2" s="13"/>
      <c r="HNK2" s="13"/>
      <c r="HNL2" s="13"/>
      <c r="HNM2" s="13"/>
      <c r="HNN2" s="13"/>
      <c r="HNO2" s="13"/>
      <c r="HNP2" s="13"/>
      <c r="HNQ2" s="13"/>
      <c r="HNR2" s="13"/>
      <c r="HNS2" s="13"/>
      <c r="HNT2" s="13"/>
      <c r="HNU2" s="13"/>
      <c r="HNV2" s="13"/>
      <c r="HNW2" s="13"/>
      <c r="HNX2" s="13"/>
      <c r="HNY2" s="13"/>
      <c r="HNZ2" s="13"/>
      <c r="HOA2" s="13"/>
      <c r="HOB2" s="13"/>
      <c r="HOC2" s="13"/>
      <c r="HOD2" s="13"/>
      <c r="HOE2" s="13"/>
      <c r="HOF2" s="13"/>
      <c r="HOG2" s="13"/>
      <c r="HOH2" s="13"/>
      <c r="HOI2" s="13"/>
      <c r="HOJ2" s="13"/>
      <c r="HOK2" s="13"/>
      <c r="HOL2" s="13"/>
      <c r="HOM2" s="13"/>
      <c r="HON2" s="13"/>
      <c r="HOO2" s="13"/>
      <c r="HOP2" s="13"/>
      <c r="HOQ2" s="13"/>
      <c r="HOR2" s="13"/>
      <c r="HOS2" s="13"/>
      <c r="HOT2" s="13"/>
      <c r="HOU2" s="13"/>
      <c r="HOV2" s="13"/>
      <c r="HOW2" s="13"/>
      <c r="HOX2" s="13"/>
      <c r="HOY2" s="13"/>
      <c r="HOZ2" s="13"/>
      <c r="HPA2" s="13"/>
      <c r="HPB2" s="13"/>
      <c r="HPC2" s="13"/>
      <c r="HPD2" s="13"/>
      <c r="HPE2" s="13"/>
      <c r="HPF2" s="13"/>
      <c r="HPG2" s="13"/>
      <c r="HPH2" s="13"/>
      <c r="HPI2" s="13"/>
      <c r="HPJ2" s="13"/>
      <c r="HPK2" s="13"/>
      <c r="HPL2" s="13"/>
      <c r="HPM2" s="13"/>
      <c r="HPN2" s="13"/>
      <c r="HPO2" s="13"/>
      <c r="HPP2" s="13"/>
      <c r="HPQ2" s="13"/>
      <c r="HPR2" s="13"/>
      <c r="HPS2" s="13"/>
      <c r="HPT2" s="13"/>
      <c r="HPU2" s="13"/>
      <c r="HPV2" s="13"/>
      <c r="HPW2" s="13"/>
      <c r="HPX2" s="13"/>
      <c r="HPY2" s="13"/>
      <c r="HPZ2" s="13"/>
      <c r="HQA2" s="13"/>
      <c r="HQB2" s="13"/>
      <c r="HQC2" s="13"/>
      <c r="HQD2" s="13"/>
      <c r="HQE2" s="13"/>
      <c r="HQF2" s="13"/>
      <c r="HQG2" s="13"/>
      <c r="HQH2" s="13"/>
      <c r="HQI2" s="13"/>
      <c r="HQJ2" s="13"/>
      <c r="HQK2" s="13"/>
      <c r="HQL2" s="13"/>
      <c r="HQM2" s="13"/>
      <c r="HQN2" s="13"/>
      <c r="HQO2" s="13"/>
      <c r="HQP2" s="13"/>
      <c r="HQQ2" s="13"/>
      <c r="HQR2" s="13"/>
      <c r="HQS2" s="13"/>
      <c r="HQT2" s="13"/>
      <c r="HQU2" s="13"/>
      <c r="HQV2" s="13"/>
      <c r="HQW2" s="13"/>
      <c r="HQX2" s="13"/>
      <c r="HQY2" s="13"/>
      <c r="HQZ2" s="13"/>
      <c r="HRA2" s="13"/>
      <c r="HRB2" s="13"/>
      <c r="HRC2" s="13"/>
      <c r="HRD2" s="13"/>
      <c r="HRE2" s="13"/>
      <c r="HRF2" s="13"/>
      <c r="HRG2" s="13"/>
      <c r="HRH2" s="13"/>
      <c r="HRI2" s="13"/>
      <c r="HRJ2" s="13"/>
      <c r="HRK2" s="13"/>
      <c r="HRL2" s="13"/>
      <c r="HRM2" s="13"/>
      <c r="HRN2" s="13"/>
      <c r="HRO2" s="13"/>
      <c r="HRP2" s="13"/>
      <c r="HRQ2" s="13"/>
      <c r="HRR2" s="13"/>
      <c r="HRS2" s="13"/>
      <c r="HRT2" s="13"/>
      <c r="HRU2" s="13"/>
      <c r="HRV2" s="13"/>
      <c r="HRW2" s="13"/>
      <c r="HRX2" s="13"/>
      <c r="HRY2" s="13"/>
      <c r="HRZ2" s="13"/>
      <c r="HSA2" s="13"/>
      <c r="HSB2" s="13"/>
      <c r="HSC2" s="13"/>
      <c r="HSD2" s="13"/>
      <c r="HSE2" s="13"/>
      <c r="HSF2" s="13"/>
      <c r="HSG2" s="13"/>
      <c r="HSH2" s="13"/>
      <c r="HSI2" s="13"/>
      <c r="HSJ2" s="13"/>
      <c r="HSK2" s="13"/>
      <c r="HSL2" s="13"/>
      <c r="HSM2" s="13"/>
      <c r="HSN2" s="13"/>
      <c r="HSO2" s="13"/>
      <c r="HSP2" s="13"/>
      <c r="HSQ2" s="13"/>
      <c r="HSR2" s="13"/>
      <c r="HSS2" s="13"/>
      <c r="HST2" s="13"/>
      <c r="HSU2" s="13"/>
      <c r="HSV2" s="13"/>
      <c r="HSW2" s="13"/>
      <c r="HSX2" s="13"/>
      <c r="HSY2" s="13"/>
      <c r="HSZ2" s="13"/>
      <c r="HTA2" s="13"/>
      <c r="HTB2" s="13"/>
      <c r="HTC2" s="13"/>
      <c r="HTD2" s="13"/>
      <c r="HTE2" s="13"/>
      <c r="HTF2" s="13"/>
      <c r="HTG2" s="13"/>
      <c r="HTH2" s="13"/>
      <c r="HTI2" s="13"/>
      <c r="HTJ2" s="13"/>
      <c r="HTK2" s="13"/>
      <c r="HTL2" s="13"/>
      <c r="HTM2" s="13"/>
      <c r="HTN2" s="13"/>
      <c r="HTO2" s="13"/>
      <c r="HTP2" s="13"/>
      <c r="HTQ2" s="13"/>
      <c r="HTR2" s="13"/>
      <c r="HTS2" s="13"/>
      <c r="HTT2" s="13"/>
      <c r="HTU2" s="13"/>
      <c r="HTV2" s="13"/>
      <c r="HTW2" s="13"/>
      <c r="HTX2" s="13"/>
      <c r="HTY2" s="13"/>
      <c r="HTZ2" s="13"/>
      <c r="HUA2" s="13"/>
      <c r="HUB2" s="13"/>
      <c r="HUC2" s="13"/>
      <c r="HUD2" s="13"/>
      <c r="HUE2" s="13"/>
      <c r="HUF2" s="13"/>
      <c r="HUG2" s="13"/>
      <c r="HUH2" s="13"/>
      <c r="HUI2" s="13"/>
      <c r="HUJ2" s="13"/>
      <c r="HUK2" s="13"/>
      <c r="HUL2" s="13"/>
      <c r="HUM2" s="13"/>
      <c r="HUN2" s="13"/>
      <c r="HUO2" s="13"/>
      <c r="HUP2" s="13"/>
      <c r="HUQ2" s="13"/>
      <c r="HUR2" s="13"/>
      <c r="HUS2" s="13"/>
      <c r="HUT2" s="13"/>
      <c r="HUU2" s="13"/>
      <c r="HUV2" s="13"/>
      <c r="HUW2" s="13"/>
      <c r="HUX2" s="13"/>
      <c r="HUY2" s="13"/>
      <c r="HUZ2" s="13"/>
      <c r="HVA2" s="13"/>
      <c r="HVB2" s="13"/>
      <c r="HVC2" s="13"/>
      <c r="HVD2" s="13"/>
      <c r="HVE2" s="13"/>
      <c r="HVF2" s="13"/>
      <c r="HVG2" s="13"/>
      <c r="HVH2" s="13"/>
      <c r="HVI2" s="13"/>
      <c r="HVJ2" s="13"/>
      <c r="HVK2" s="13"/>
      <c r="HVL2" s="13"/>
      <c r="HVM2" s="13"/>
      <c r="HVN2" s="13"/>
      <c r="HVO2" s="13"/>
      <c r="HVP2" s="13"/>
      <c r="HVQ2" s="13"/>
      <c r="HVR2" s="13"/>
      <c r="HVS2" s="13"/>
      <c r="HVT2" s="13"/>
      <c r="HVU2" s="13"/>
      <c r="HVV2" s="13"/>
      <c r="HVW2" s="13"/>
      <c r="HVX2" s="13"/>
      <c r="HVY2" s="13"/>
      <c r="HVZ2" s="13"/>
      <c r="HWA2" s="13"/>
      <c r="HWB2" s="13"/>
      <c r="HWC2" s="13"/>
      <c r="HWD2" s="13"/>
      <c r="HWE2" s="13"/>
      <c r="HWF2" s="13"/>
      <c r="HWG2" s="13"/>
      <c r="HWH2" s="13"/>
      <c r="HWI2" s="13"/>
      <c r="HWJ2" s="13"/>
      <c r="HWK2" s="13"/>
      <c r="HWL2" s="13"/>
      <c r="HWM2" s="13"/>
      <c r="HWN2" s="13"/>
      <c r="HWO2" s="13"/>
      <c r="HWP2" s="13"/>
      <c r="HWQ2" s="13"/>
      <c r="HWR2" s="13"/>
      <c r="HWS2" s="13"/>
      <c r="HWT2" s="13"/>
      <c r="HWU2" s="13"/>
      <c r="HWV2" s="13"/>
      <c r="HWW2" s="13"/>
      <c r="HWX2" s="13"/>
      <c r="HWY2" s="13"/>
      <c r="HWZ2" s="13"/>
      <c r="HXA2" s="13"/>
      <c r="HXB2" s="13"/>
      <c r="HXC2" s="13"/>
      <c r="HXD2" s="13"/>
      <c r="HXE2" s="13"/>
      <c r="HXF2" s="13"/>
      <c r="HXG2" s="13"/>
      <c r="HXH2" s="13"/>
      <c r="HXI2" s="13"/>
      <c r="HXJ2" s="13"/>
      <c r="HXK2" s="13"/>
      <c r="HXL2" s="13"/>
      <c r="HXM2" s="13"/>
      <c r="HXN2" s="13"/>
      <c r="HXO2" s="13"/>
      <c r="HXP2" s="13"/>
      <c r="HXQ2" s="13"/>
      <c r="HXR2" s="13"/>
      <c r="HXS2" s="13"/>
      <c r="HXT2" s="13"/>
      <c r="HXU2" s="13"/>
      <c r="HXV2" s="13"/>
      <c r="HXW2" s="13"/>
      <c r="HXX2" s="13"/>
      <c r="HXY2" s="13"/>
      <c r="HXZ2" s="13"/>
      <c r="HYA2" s="13"/>
      <c r="HYB2" s="13"/>
      <c r="HYC2" s="13"/>
      <c r="HYD2" s="13"/>
      <c r="HYE2" s="13"/>
      <c r="HYF2" s="13"/>
      <c r="HYG2" s="13"/>
      <c r="HYH2" s="13"/>
      <c r="HYI2" s="13"/>
      <c r="HYJ2" s="13"/>
      <c r="HYK2" s="13"/>
      <c r="HYL2" s="13"/>
      <c r="HYM2" s="13"/>
      <c r="HYN2" s="13"/>
      <c r="HYO2" s="13"/>
      <c r="HYP2" s="13"/>
      <c r="HYQ2" s="13"/>
      <c r="HYR2" s="13"/>
      <c r="HYS2" s="13"/>
      <c r="HYT2" s="13"/>
      <c r="HYU2" s="13"/>
      <c r="HYV2" s="13"/>
      <c r="HYW2" s="13"/>
      <c r="HYX2" s="13"/>
      <c r="HYY2" s="13"/>
      <c r="HYZ2" s="13"/>
      <c r="HZA2" s="13"/>
      <c r="HZB2" s="13"/>
      <c r="HZC2" s="13"/>
      <c r="HZD2" s="13"/>
      <c r="HZE2" s="13"/>
      <c r="HZF2" s="13"/>
      <c r="HZG2" s="13"/>
      <c r="HZH2" s="13"/>
      <c r="HZI2" s="13"/>
      <c r="HZJ2" s="13"/>
      <c r="HZK2" s="13"/>
      <c r="HZL2" s="13"/>
      <c r="HZM2" s="13"/>
      <c r="HZN2" s="13"/>
      <c r="HZO2" s="13"/>
      <c r="HZP2" s="13"/>
      <c r="HZQ2" s="13"/>
      <c r="HZR2" s="13"/>
      <c r="HZS2" s="13"/>
      <c r="HZT2" s="13"/>
      <c r="HZU2" s="13"/>
      <c r="HZV2" s="13"/>
      <c r="HZW2" s="13"/>
      <c r="HZX2" s="13"/>
      <c r="HZY2" s="13"/>
      <c r="HZZ2" s="13"/>
      <c r="IAA2" s="13"/>
      <c r="IAB2" s="13"/>
      <c r="IAC2" s="13"/>
      <c r="IAD2" s="13"/>
      <c r="IAE2" s="13"/>
      <c r="IAF2" s="13"/>
      <c r="IAG2" s="13"/>
      <c r="IAH2" s="13"/>
      <c r="IAI2" s="13"/>
      <c r="IAJ2" s="13"/>
      <c r="IAK2" s="13"/>
      <c r="IAL2" s="13"/>
      <c r="IAM2" s="13"/>
      <c r="IAN2" s="13"/>
      <c r="IAO2" s="13"/>
      <c r="IAP2" s="13"/>
      <c r="IAQ2" s="13"/>
      <c r="IAR2" s="13"/>
      <c r="IAS2" s="13"/>
      <c r="IAT2" s="13"/>
      <c r="IAU2" s="13"/>
      <c r="IAV2" s="13"/>
      <c r="IAW2" s="13"/>
      <c r="IAX2" s="13"/>
      <c r="IAY2" s="13"/>
      <c r="IAZ2" s="13"/>
      <c r="IBA2" s="13"/>
      <c r="IBB2" s="13"/>
      <c r="IBC2" s="13"/>
      <c r="IBD2" s="13"/>
      <c r="IBE2" s="13"/>
      <c r="IBF2" s="13"/>
      <c r="IBG2" s="13"/>
      <c r="IBH2" s="13"/>
      <c r="IBI2" s="13"/>
      <c r="IBJ2" s="13"/>
      <c r="IBK2" s="13"/>
      <c r="IBL2" s="13"/>
      <c r="IBM2" s="13"/>
      <c r="IBN2" s="13"/>
      <c r="IBO2" s="13"/>
      <c r="IBP2" s="13"/>
      <c r="IBQ2" s="13"/>
      <c r="IBR2" s="13"/>
      <c r="IBS2" s="13"/>
      <c r="IBT2" s="13"/>
      <c r="IBU2" s="13"/>
      <c r="IBV2" s="13"/>
      <c r="IBW2" s="13"/>
      <c r="IBX2" s="13"/>
      <c r="IBY2" s="13"/>
      <c r="IBZ2" s="13"/>
      <c r="ICA2" s="13"/>
      <c r="ICB2" s="13"/>
      <c r="ICC2" s="13"/>
      <c r="ICD2" s="13"/>
      <c r="ICE2" s="13"/>
      <c r="ICF2" s="13"/>
      <c r="ICG2" s="13"/>
      <c r="ICH2" s="13"/>
      <c r="ICI2" s="13"/>
      <c r="ICJ2" s="13"/>
      <c r="ICK2" s="13"/>
      <c r="ICL2" s="13"/>
      <c r="ICM2" s="13"/>
      <c r="ICN2" s="13"/>
      <c r="ICO2" s="13"/>
      <c r="ICP2" s="13"/>
      <c r="ICQ2" s="13"/>
      <c r="ICR2" s="13"/>
      <c r="ICS2" s="13"/>
      <c r="ICT2" s="13"/>
      <c r="ICU2" s="13"/>
      <c r="ICV2" s="13"/>
      <c r="ICW2" s="13"/>
      <c r="ICX2" s="13"/>
      <c r="ICY2" s="13"/>
      <c r="ICZ2" s="13"/>
      <c r="IDA2" s="13"/>
      <c r="IDB2" s="13"/>
      <c r="IDC2" s="13"/>
      <c r="IDD2" s="13"/>
      <c r="IDE2" s="13"/>
      <c r="IDF2" s="13"/>
      <c r="IDG2" s="13"/>
      <c r="IDH2" s="13"/>
      <c r="IDI2" s="13"/>
      <c r="IDJ2" s="13"/>
      <c r="IDK2" s="13"/>
      <c r="IDL2" s="13"/>
      <c r="IDM2" s="13"/>
      <c r="IDN2" s="13"/>
      <c r="IDO2" s="13"/>
      <c r="IDP2" s="13"/>
      <c r="IDQ2" s="13"/>
      <c r="IDR2" s="13"/>
      <c r="IDS2" s="13"/>
      <c r="IDT2" s="13"/>
      <c r="IDU2" s="13"/>
      <c r="IDV2" s="13"/>
      <c r="IDW2" s="13"/>
      <c r="IDX2" s="13"/>
      <c r="IDY2" s="13"/>
      <c r="IDZ2" s="13"/>
      <c r="IEA2" s="13"/>
      <c r="IEB2" s="13"/>
      <c r="IEC2" s="13"/>
      <c r="IED2" s="13"/>
      <c r="IEE2" s="13"/>
      <c r="IEF2" s="13"/>
      <c r="IEG2" s="13"/>
      <c r="IEH2" s="13"/>
      <c r="IEI2" s="13"/>
      <c r="IEJ2" s="13"/>
      <c r="IEK2" s="13"/>
      <c r="IEL2" s="13"/>
      <c r="IEM2" s="13"/>
      <c r="IEN2" s="13"/>
      <c r="IEO2" s="13"/>
      <c r="IEP2" s="13"/>
      <c r="IEQ2" s="13"/>
      <c r="IER2" s="13"/>
      <c r="IES2" s="13"/>
      <c r="IET2" s="13"/>
      <c r="IEU2" s="13"/>
      <c r="IEV2" s="13"/>
      <c r="IEW2" s="13"/>
      <c r="IEX2" s="13"/>
      <c r="IEY2" s="13"/>
      <c r="IEZ2" s="13"/>
      <c r="IFA2" s="13"/>
      <c r="IFB2" s="13"/>
      <c r="IFC2" s="13"/>
      <c r="IFD2" s="13"/>
      <c r="IFE2" s="13"/>
      <c r="IFF2" s="13"/>
      <c r="IFG2" s="13"/>
      <c r="IFH2" s="13"/>
      <c r="IFI2" s="13"/>
      <c r="IFJ2" s="13"/>
      <c r="IFK2" s="13"/>
      <c r="IFL2" s="13"/>
      <c r="IFM2" s="13"/>
      <c r="IFN2" s="13"/>
      <c r="IFO2" s="13"/>
      <c r="IFP2" s="13"/>
      <c r="IFQ2" s="13"/>
      <c r="IFR2" s="13"/>
      <c r="IFS2" s="13"/>
      <c r="IFT2" s="13"/>
      <c r="IFU2" s="13"/>
      <c r="IFV2" s="13"/>
      <c r="IFW2" s="13"/>
      <c r="IFX2" s="13"/>
      <c r="IFY2" s="13"/>
      <c r="IFZ2" s="13"/>
      <c r="IGA2" s="13"/>
      <c r="IGB2" s="13"/>
      <c r="IGC2" s="13"/>
      <c r="IGD2" s="13"/>
      <c r="IGE2" s="13"/>
      <c r="IGF2" s="13"/>
      <c r="IGG2" s="13"/>
      <c r="IGH2" s="13"/>
      <c r="IGI2" s="13"/>
      <c r="IGJ2" s="13"/>
      <c r="IGK2" s="13"/>
      <c r="IGL2" s="13"/>
      <c r="IGM2" s="13"/>
      <c r="IGN2" s="13"/>
      <c r="IGO2" s="13"/>
      <c r="IGP2" s="13"/>
      <c r="IGQ2" s="13"/>
      <c r="IGR2" s="13"/>
      <c r="IGS2" s="13"/>
      <c r="IGT2" s="13"/>
      <c r="IGU2" s="13"/>
      <c r="IGV2" s="13"/>
      <c r="IGW2" s="13"/>
      <c r="IGX2" s="13"/>
      <c r="IGY2" s="13"/>
      <c r="IGZ2" s="13"/>
      <c r="IHA2" s="13"/>
      <c r="IHB2" s="13"/>
      <c r="IHC2" s="13"/>
      <c r="IHD2" s="13"/>
      <c r="IHE2" s="13"/>
      <c r="IHF2" s="13"/>
      <c r="IHG2" s="13"/>
      <c r="IHH2" s="13"/>
      <c r="IHI2" s="13"/>
      <c r="IHJ2" s="13"/>
      <c r="IHK2" s="13"/>
      <c r="IHL2" s="13"/>
      <c r="IHM2" s="13"/>
      <c r="IHN2" s="13"/>
      <c r="IHO2" s="13"/>
      <c r="IHP2" s="13"/>
      <c r="IHQ2" s="13"/>
      <c r="IHR2" s="13"/>
      <c r="IHS2" s="13"/>
      <c r="IHT2" s="13"/>
      <c r="IHU2" s="13"/>
      <c r="IHV2" s="13"/>
      <c r="IHW2" s="13"/>
      <c r="IHX2" s="13"/>
      <c r="IHY2" s="13"/>
      <c r="IHZ2" s="13"/>
      <c r="IIA2" s="13"/>
      <c r="IIB2" s="13"/>
      <c r="IIC2" s="13"/>
      <c r="IID2" s="13"/>
      <c r="IIE2" s="13"/>
      <c r="IIF2" s="13"/>
      <c r="IIG2" s="13"/>
      <c r="IIH2" s="13"/>
      <c r="III2" s="13"/>
      <c r="IIJ2" s="13"/>
      <c r="IIK2" s="13"/>
      <c r="IIL2" s="13"/>
      <c r="IIM2" s="13"/>
      <c r="IIN2" s="13"/>
      <c r="IIO2" s="13"/>
      <c r="IIP2" s="13"/>
      <c r="IIQ2" s="13"/>
      <c r="IIR2" s="13"/>
      <c r="IIS2" s="13"/>
      <c r="IIT2" s="13"/>
      <c r="IIU2" s="13"/>
      <c r="IIV2" s="13"/>
      <c r="IIW2" s="13"/>
      <c r="IIX2" s="13"/>
      <c r="IIY2" s="13"/>
      <c r="IIZ2" s="13"/>
      <c r="IJA2" s="13"/>
      <c r="IJB2" s="13"/>
      <c r="IJC2" s="13"/>
      <c r="IJD2" s="13"/>
      <c r="IJE2" s="13"/>
      <c r="IJF2" s="13"/>
      <c r="IJG2" s="13"/>
      <c r="IJH2" s="13"/>
      <c r="IJI2" s="13"/>
      <c r="IJJ2" s="13"/>
      <c r="IJK2" s="13"/>
      <c r="IJL2" s="13"/>
      <c r="IJM2" s="13"/>
      <c r="IJN2" s="13"/>
      <c r="IJO2" s="13"/>
      <c r="IJP2" s="13"/>
      <c r="IJQ2" s="13"/>
      <c r="IJR2" s="13"/>
      <c r="IJS2" s="13"/>
      <c r="IJT2" s="13"/>
      <c r="IJU2" s="13"/>
      <c r="IJV2" s="13"/>
      <c r="IJW2" s="13"/>
      <c r="IJX2" s="13"/>
      <c r="IJY2" s="13"/>
      <c r="IJZ2" s="13"/>
      <c r="IKA2" s="13"/>
      <c r="IKB2" s="13"/>
      <c r="IKC2" s="13"/>
      <c r="IKD2" s="13"/>
      <c r="IKE2" s="13"/>
      <c r="IKF2" s="13"/>
      <c r="IKG2" s="13"/>
      <c r="IKH2" s="13"/>
      <c r="IKI2" s="13"/>
      <c r="IKJ2" s="13"/>
      <c r="IKK2" s="13"/>
      <c r="IKL2" s="13"/>
      <c r="IKM2" s="13"/>
      <c r="IKN2" s="13"/>
      <c r="IKO2" s="13"/>
      <c r="IKP2" s="13"/>
      <c r="IKQ2" s="13"/>
      <c r="IKR2" s="13"/>
      <c r="IKS2" s="13"/>
      <c r="IKT2" s="13"/>
      <c r="IKU2" s="13"/>
      <c r="IKV2" s="13"/>
      <c r="IKW2" s="13"/>
      <c r="IKX2" s="13"/>
      <c r="IKY2" s="13"/>
      <c r="IKZ2" s="13"/>
      <c r="ILA2" s="13"/>
      <c r="ILB2" s="13"/>
      <c r="ILC2" s="13"/>
      <c r="ILD2" s="13"/>
      <c r="ILE2" s="13"/>
      <c r="ILF2" s="13"/>
      <c r="ILG2" s="13"/>
      <c r="ILH2" s="13"/>
      <c r="ILI2" s="13"/>
      <c r="ILJ2" s="13"/>
      <c r="ILK2" s="13"/>
      <c r="ILL2" s="13"/>
      <c r="ILM2" s="13"/>
      <c r="ILN2" s="13"/>
      <c r="ILO2" s="13"/>
      <c r="ILP2" s="13"/>
      <c r="ILQ2" s="13"/>
      <c r="ILR2" s="13"/>
      <c r="ILS2" s="13"/>
      <c r="ILT2" s="13"/>
      <c r="ILU2" s="13"/>
      <c r="ILV2" s="13"/>
      <c r="ILW2" s="13"/>
      <c r="ILX2" s="13"/>
      <c r="ILY2" s="13"/>
      <c r="ILZ2" s="13"/>
      <c r="IMA2" s="13"/>
      <c r="IMB2" s="13"/>
      <c r="IMC2" s="13"/>
      <c r="IMD2" s="13"/>
      <c r="IME2" s="13"/>
      <c r="IMF2" s="13"/>
      <c r="IMG2" s="13"/>
      <c r="IMH2" s="13"/>
      <c r="IMI2" s="13"/>
      <c r="IMJ2" s="13"/>
      <c r="IMK2" s="13"/>
      <c r="IML2" s="13"/>
      <c r="IMM2" s="13"/>
      <c r="IMN2" s="13"/>
      <c r="IMO2" s="13"/>
      <c r="IMP2" s="13"/>
      <c r="IMQ2" s="13"/>
      <c r="IMR2" s="13"/>
      <c r="IMS2" s="13"/>
      <c r="IMT2" s="13"/>
      <c r="IMU2" s="13"/>
      <c r="IMV2" s="13"/>
      <c r="IMW2" s="13"/>
      <c r="IMX2" s="13"/>
      <c r="IMY2" s="13"/>
      <c r="IMZ2" s="13"/>
      <c r="INA2" s="13"/>
      <c r="INB2" s="13"/>
      <c r="INC2" s="13"/>
      <c r="IND2" s="13"/>
      <c r="INE2" s="13"/>
      <c r="INF2" s="13"/>
      <c r="ING2" s="13"/>
      <c r="INH2" s="13"/>
      <c r="INI2" s="13"/>
      <c r="INJ2" s="13"/>
      <c r="INK2" s="13"/>
      <c r="INL2" s="13"/>
      <c r="INM2" s="13"/>
      <c r="INN2" s="13"/>
      <c r="INO2" s="13"/>
      <c r="INP2" s="13"/>
      <c r="INQ2" s="13"/>
      <c r="INR2" s="13"/>
      <c r="INS2" s="13"/>
      <c r="INT2" s="13"/>
      <c r="INU2" s="13"/>
      <c r="INV2" s="13"/>
      <c r="INW2" s="13"/>
      <c r="INX2" s="13"/>
      <c r="INY2" s="13"/>
      <c r="INZ2" s="13"/>
      <c r="IOA2" s="13"/>
      <c r="IOB2" s="13"/>
      <c r="IOC2" s="13"/>
      <c r="IOD2" s="13"/>
      <c r="IOE2" s="13"/>
      <c r="IOF2" s="13"/>
      <c r="IOG2" s="13"/>
      <c r="IOH2" s="13"/>
      <c r="IOI2" s="13"/>
      <c r="IOJ2" s="13"/>
      <c r="IOK2" s="13"/>
      <c r="IOL2" s="13"/>
      <c r="IOM2" s="13"/>
      <c r="ION2" s="13"/>
      <c r="IOO2" s="13"/>
      <c r="IOP2" s="13"/>
      <c r="IOQ2" s="13"/>
      <c r="IOR2" s="13"/>
      <c r="IOS2" s="13"/>
      <c r="IOT2" s="13"/>
      <c r="IOU2" s="13"/>
      <c r="IOV2" s="13"/>
      <c r="IOW2" s="13"/>
      <c r="IOX2" s="13"/>
      <c r="IOY2" s="13"/>
      <c r="IOZ2" s="13"/>
      <c r="IPA2" s="13"/>
      <c r="IPB2" s="13"/>
      <c r="IPC2" s="13"/>
      <c r="IPD2" s="13"/>
      <c r="IPE2" s="13"/>
      <c r="IPF2" s="13"/>
      <c r="IPG2" s="13"/>
      <c r="IPH2" s="13"/>
      <c r="IPI2" s="13"/>
      <c r="IPJ2" s="13"/>
      <c r="IPK2" s="13"/>
      <c r="IPL2" s="13"/>
      <c r="IPM2" s="13"/>
      <c r="IPN2" s="13"/>
      <c r="IPO2" s="13"/>
      <c r="IPP2" s="13"/>
      <c r="IPQ2" s="13"/>
      <c r="IPR2" s="13"/>
      <c r="IPS2" s="13"/>
      <c r="IPT2" s="13"/>
      <c r="IPU2" s="13"/>
      <c r="IPV2" s="13"/>
      <c r="IPW2" s="13"/>
      <c r="IPX2" s="13"/>
      <c r="IPY2" s="13"/>
      <c r="IPZ2" s="13"/>
      <c r="IQA2" s="13"/>
      <c r="IQB2" s="13"/>
      <c r="IQC2" s="13"/>
      <c r="IQD2" s="13"/>
      <c r="IQE2" s="13"/>
      <c r="IQF2" s="13"/>
      <c r="IQG2" s="13"/>
      <c r="IQH2" s="13"/>
      <c r="IQI2" s="13"/>
      <c r="IQJ2" s="13"/>
      <c r="IQK2" s="13"/>
      <c r="IQL2" s="13"/>
      <c r="IQM2" s="13"/>
      <c r="IQN2" s="13"/>
      <c r="IQO2" s="13"/>
      <c r="IQP2" s="13"/>
      <c r="IQQ2" s="13"/>
      <c r="IQR2" s="13"/>
      <c r="IQS2" s="13"/>
      <c r="IQT2" s="13"/>
      <c r="IQU2" s="13"/>
      <c r="IQV2" s="13"/>
      <c r="IQW2" s="13"/>
      <c r="IQX2" s="13"/>
      <c r="IQY2" s="13"/>
      <c r="IQZ2" s="13"/>
      <c r="IRA2" s="13"/>
      <c r="IRB2" s="13"/>
      <c r="IRC2" s="13"/>
      <c r="IRD2" s="13"/>
      <c r="IRE2" s="13"/>
      <c r="IRF2" s="13"/>
      <c r="IRG2" s="13"/>
      <c r="IRH2" s="13"/>
      <c r="IRI2" s="13"/>
      <c r="IRJ2" s="13"/>
      <c r="IRK2" s="13"/>
      <c r="IRL2" s="13"/>
      <c r="IRM2" s="13"/>
      <c r="IRN2" s="13"/>
      <c r="IRO2" s="13"/>
      <c r="IRP2" s="13"/>
      <c r="IRQ2" s="13"/>
      <c r="IRR2" s="13"/>
      <c r="IRS2" s="13"/>
      <c r="IRT2" s="13"/>
      <c r="IRU2" s="13"/>
      <c r="IRV2" s="13"/>
      <c r="IRW2" s="13"/>
      <c r="IRX2" s="13"/>
      <c r="IRY2" s="13"/>
      <c r="IRZ2" s="13"/>
      <c r="ISA2" s="13"/>
      <c r="ISB2" s="13"/>
      <c r="ISC2" s="13"/>
      <c r="ISD2" s="13"/>
      <c r="ISE2" s="13"/>
      <c r="ISF2" s="13"/>
      <c r="ISG2" s="13"/>
      <c r="ISH2" s="13"/>
      <c r="ISI2" s="13"/>
      <c r="ISJ2" s="13"/>
      <c r="ISK2" s="13"/>
      <c r="ISL2" s="13"/>
      <c r="ISM2" s="13"/>
      <c r="ISN2" s="13"/>
      <c r="ISO2" s="13"/>
      <c r="ISP2" s="13"/>
      <c r="ISQ2" s="13"/>
      <c r="ISR2" s="13"/>
      <c r="ISS2" s="13"/>
      <c r="IST2" s="13"/>
      <c r="ISU2" s="13"/>
      <c r="ISV2" s="13"/>
      <c r="ISW2" s="13"/>
      <c r="ISX2" s="13"/>
      <c r="ISY2" s="13"/>
      <c r="ISZ2" s="13"/>
      <c r="ITA2" s="13"/>
      <c r="ITB2" s="13"/>
      <c r="ITC2" s="13"/>
      <c r="ITD2" s="13"/>
      <c r="ITE2" s="13"/>
      <c r="ITF2" s="13"/>
      <c r="ITG2" s="13"/>
      <c r="ITH2" s="13"/>
      <c r="ITI2" s="13"/>
      <c r="ITJ2" s="13"/>
      <c r="ITK2" s="13"/>
      <c r="ITL2" s="13"/>
      <c r="ITM2" s="13"/>
      <c r="ITN2" s="13"/>
      <c r="ITO2" s="13"/>
      <c r="ITP2" s="13"/>
      <c r="ITQ2" s="13"/>
      <c r="ITR2" s="13"/>
      <c r="ITS2" s="13"/>
      <c r="ITT2" s="13"/>
      <c r="ITU2" s="13"/>
      <c r="ITV2" s="13"/>
      <c r="ITW2" s="13"/>
      <c r="ITX2" s="13"/>
      <c r="ITY2" s="13"/>
      <c r="ITZ2" s="13"/>
      <c r="IUA2" s="13"/>
      <c r="IUB2" s="13"/>
      <c r="IUC2" s="13"/>
      <c r="IUD2" s="13"/>
      <c r="IUE2" s="13"/>
      <c r="IUF2" s="13"/>
      <c r="IUG2" s="13"/>
      <c r="IUH2" s="13"/>
      <c r="IUI2" s="13"/>
      <c r="IUJ2" s="13"/>
      <c r="IUK2" s="13"/>
      <c r="IUL2" s="13"/>
      <c r="IUM2" s="13"/>
      <c r="IUN2" s="13"/>
      <c r="IUO2" s="13"/>
      <c r="IUP2" s="13"/>
      <c r="IUQ2" s="13"/>
      <c r="IUR2" s="13"/>
      <c r="IUS2" s="13"/>
      <c r="IUT2" s="13"/>
      <c r="IUU2" s="13"/>
      <c r="IUV2" s="13"/>
      <c r="IUW2" s="13"/>
      <c r="IUX2" s="13"/>
      <c r="IUY2" s="13"/>
      <c r="IUZ2" s="13"/>
      <c r="IVA2" s="13"/>
      <c r="IVB2" s="13"/>
      <c r="IVC2" s="13"/>
      <c r="IVD2" s="13"/>
      <c r="IVE2" s="13"/>
      <c r="IVF2" s="13"/>
      <c r="IVG2" s="13"/>
      <c r="IVH2" s="13"/>
      <c r="IVI2" s="13"/>
      <c r="IVJ2" s="13"/>
      <c r="IVK2" s="13"/>
      <c r="IVL2" s="13"/>
      <c r="IVM2" s="13"/>
      <c r="IVN2" s="13"/>
      <c r="IVO2" s="13"/>
      <c r="IVP2" s="13"/>
      <c r="IVQ2" s="13"/>
      <c r="IVR2" s="13"/>
      <c r="IVS2" s="13"/>
      <c r="IVT2" s="13"/>
      <c r="IVU2" s="13"/>
      <c r="IVV2" s="13"/>
      <c r="IVW2" s="13"/>
      <c r="IVX2" s="13"/>
      <c r="IVY2" s="13"/>
      <c r="IVZ2" s="13"/>
      <c r="IWA2" s="13"/>
      <c r="IWB2" s="13"/>
      <c r="IWC2" s="13"/>
      <c r="IWD2" s="13"/>
      <c r="IWE2" s="13"/>
      <c r="IWF2" s="13"/>
      <c r="IWG2" s="13"/>
      <c r="IWH2" s="13"/>
      <c r="IWI2" s="13"/>
      <c r="IWJ2" s="13"/>
      <c r="IWK2" s="13"/>
      <c r="IWL2" s="13"/>
      <c r="IWM2" s="13"/>
      <c r="IWN2" s="13"/>
      <c r="IWO2" s="13"/>
      <c r="IWP2" s="13"/>
      <c r="IWQ2" s="13"/>
      <c r="IWR2" s="13"/>
      <c r="IWS2" s="13"/>
      <c r="IWT2" s="13"/>
      <c r="IWU2" s="13"/>
      <c r="IWV2" s="13"/>
      <c r="IWW2" s="13"/>
      <c r="IWX2" s="13"/>
      <c r="IWY2" s="13"/>
      <c r="IWZ2" s="13"/>
      <c r="IXA2" s="13"/>
      <c r="IXB2" s="13"/>
      <c r="IXC2" s="13"/>
      <c r="IXD2" s="13"/>
      <c r="IXE2" s="13"/>
      <c r="IXF2" s="13"/>
      <c r="IXG2" s="13"/>
      <c r="IXH2" s="13"/>
      <c r="IXI2" s="13"/>
      <c r="IXJ2" s="13"/>
      <c r="IXK2" s="13"/>
      <c r="IXL2" s="13"/>
      <c r="IXM2" s="13"/>
      <c r="IXN2" s="13"/>
      <c r="IXO2" s="13"/>
      <c r="IXP2" s="13"/>
      <c r="IXQ2" s="13"/>
      <c r="IXR2" s="13"/>
      <c r="IXS2" s="13"/>
      <c r="IXT2" s="13"/>
      <c r="IXU2" s="13"/>
      <c r="IXV2" s="13"/>
      <c r="IXW2" s="13"/>
      <c r="IXX2" s="13"/>
      <c r="IXY2" s="13"/>
      <c r="IXZ2" s="13"/>
      <c r="IYA2" s="13"/>
      <c r="IYB2" s="13"/>
      <c r="IYC2" s="13"/>
      <c r="IYD2" s="13"/>
      <c r="IYE2" s="13"/>
      <c r="IYF2" s="13"/>
      <c r="IYG2" s="13"/>
      <c r="IYH2" s="13"/>
      <c r="IYI2" s="13"/>
      <c r="IYJ2" s="13"/>
      <c r="IYK2" s="13"/>
      <c r="IYL2" s="13"/>
      <c r="IYM2" s="13"/>
      <c r="IYN2" s="13"/>
      <c r="IYO2" s="13"/>
      <c r="IYP2" s="13"/>
      <c r="IYQ2" s="13"/>
      <c r="IYR2" s="13"/>
      <c r="IYS2" s="13"/>
      <c r="IYT2" s="13"/>
      <c r="IYU2" s="13"/>
      <c r="IYV2" s="13"/>
      <c r="IYW2" s="13"/>
      <c r="IYX2" s="13"/>
      <c r="IYY2" s="13"/>
      <c r="IYZ2" s="13"/>
      <c r="IZA2" s="13"/>
      <c r="IZB2" s="13"/>
      <c r="IZC2" s="13"/>
      <c r="IZD2" s="13"/>
      <c r="IZE2" s="13"/>
      <c r="IZF2" s="13"/>
      <c r="IZG2" s="13"/>
      <c r="IZH2" s="13"/>
      <c r="IZI2" s="13"/>
      <c r="IZJ2" s="13"/>
      <c r="IZK2" s="13"/>
      <c r="IZL2" s="13"/>
      <c r="IZM2" s="13"/>
      <c r="IZN2" s="13"/>
      <c r="IZO2" s="13"/>
      <c r="IZP2" s="13"/>
      <c r="IZQ2" s="13"/>
      <c r="IZR2" s="13"/>
      <c r="IZS2" s="13"/>
      <c r="IZT2" s="13"/>
      <c r="IZU2" s="13"/>
      <c r="IZV2" s="13"/>
      <c r="IZW2" s="13"/>
      <c r="IZX2" s="13"/>
      <c r="IZY2" s="13"/>
      <c r="IZZ2" s="13"/>
      <c r="JAA2" s="13"/>
      <c r="JAB2" s="13"/>
      <c r="JAC2" s="13"/>
      <c r="JAD2" s="13"/>
      <c r="JAE2" s="13"/>
      <c r="JAF2" s="13"/>
      <c r="JAG2" s="13"/>
      <c r="JAH2" s="13"/>
      <c r="JAI2" s="13"/>
      <c r="JAJ2" s="13"/>
      <c r="JAK2" s="13"/>
      <c r="JAL2" s="13"/>
      <c r="JAM2" s="13"/>
      <c r="JAN2" s="13"/>
      <c r="JAO2" s="13"/>
      <c r="JAP2" s="13"/>
      <c r="JAQ2" s="13"/>
      <c r="JAR2" s="13"/>
      <c r="JAS2" s="13"/>
      <c r="JAT2" s="13"/>
      <c r="JAU2" s="13"/>
      <c r="JAV2" s="13"/>
      <c r="JAW2" s="13"/>
      <c r="JAX2" s="13"/>
      <c r="JAY2" s="13"/>
      <c r="JAZ2" s="13"/>
      <c r="JBA2" s="13"/>
      <c r="JBB2" s="13"/>
      <c r="JBC2" s="13"/>
      <c r="JBD2" s="13"/>
      <c r="JBE2" s="13"/>
      <c r="JBF2" s="13"/>
      <c r="JBG2" s="13"/>
      <c r="JBH2" s="13"/>
      <c r="JBI2" s="13"/>
      <c r="JBJ2" s="13"/>
      <c r="JBK2" s="13"/>
      <c r="JBL2" s="13"/>
      <c r="JBM2" s="13"/>
      <c r="JBN2" s="13"/>
      <c r="JBO2" s="13"/>
      <c r="JBP2" s="13"/>
      <c r="JBQ2" s="13"/>
      <c r="JBR2" s="13"/>
      <c r="JBS2" s="13"/>
      <c r="JBT2" s="13"/>
      <c r="JBU2" s="13"/>
      <c r="JBV2" s="13"/>
      <c r="JBW2" s="13"/>
      <c r="JBX2" s="13"/>
      <c r="JBY2" s="13"/>
      <c r="JBZ2" s="13"/>
      <c r="JCA2" s="13"/>
      <c r="JCB2" s="13"/>
      <c r="JCC2" s="13"/>
      <c r="JCD2" s="13"/>
      <c r="JCE2" s="13"/>
      <c r="JCF2" s="13"/>
      <c r="JCG2" s="13"/>
      <c r="JCH2" s="13"/>
      <c r="JCI2" s="13"/>
      <c r="JCJ2" s="13"/>
      <c r="JCK2" s="13"/>
      <c r="JCL2" s="13"/>
      <c r="JCM2" s="13"/>
      <c r="JCN2" s="13"/>
      <c r="JCO2" s="13"/>
      <c r="JCP2" s="13"/>
      <c r="JCQ2" s="13"/>
      <c r="JCR2" s="13"/>
      <c r="JCS2" s="13"/>
      <c r="JCT2" s="13"/>
      <c r="JCU2" s="13"/>
      <c r="JCV2" s="13"/>
      <c r="JCW2" s="13"/>
      <c r="JCX2" s="13"/>
      <c r="JCY2" s="13"/>
      <c r="JCZ2" s="13"/>
      <c r="JDA2" s="13"/>
      <c r="JDB2" s="13"/>
      <c r="JDC2" s="13"/>
      <c r="JDD2" s="13"/>
      <c r="JDE2" s="13"/>
      <c r="JDF2" s="13"/>
      <c r="JDG2" s="13"/>
      <c r="JDH2" s="13"/>
      <c r="JDI2" s="13"/>
      <c r="JDJ2" s="13"/>
      <c r="JDK2" s="13"/>
      <c r="JDL2" s="13"/>
      <c r="JDM2" s="13"/>
      <c r="JDN2" s="13"/>
      <c r="JDO2" s="13"/>
      <c r="JDP2" s="13"/>
      <c r="JDQ2" s="13"/>
      <c r="JDR2" s="13"/>
      <c r="JDS2" s="13"/>
      <c r="JDT2" s="13"/>
      <c r="JDU2" s="13"/>
      <c r="JDV2" s="13"/>
      <c r="JDW2" s="13"/>
      <c r="JDX2" s="13"/>
      <c r="JDY2" s="13"/>
      <c r="JDZ2" s="13"/>
      <c r="JEA2" s="13"/>
      <c r="JEB2" s="13"/>
      <c r="JEC2" s="13"/>
      <c r="JED2" s="13"/>
      <c r="JEE2" s="13"/>
      <c r="JEF2" s="13"/>
      <c r="JEG2" s="13"/>
      <c r="JEH2" s="13"/>
      <c r="JEI2" s="13"/>
      <c r="JEJ2" s="13"/>
      <c r="JEK2" s="13"/>
      <c r="JEL2" s="13"/>
      <c r="JEM2" s="13"/>
      <c r="JEN2" s="13"/>
      <c r="JEO2" s="13"/>
      <c r="JEP2" s="13"/>
      <c r="JEQ2" s="13"/>
      <c r="JER2" s="13"/>
      <c r="JES2" s="13"/>
      <c r="JET2" s="13"/>
      <c r="JEU2" s="13"/>
      <c r="JEV2" s="13"/>
      <c r="JEW2" s="13"/>
      <c r="JEX2" s="13"/>
      <c r="JEY2" s="13"/>
      <c r="JEZ2" s="13"/>
      <c r="JFA2" s="13"/>
      <c r="JFB2" s="13"/>
      <c r="JFC2" s="13"/>
      <c r="JFD2" s="13"/>
      <c r="JFE2" s="13"/>
      <c r="JFF2" s="13"/>
      <c r="JFG2" s="13"/>
      <c r="JFH2" s="13"/>
      <c r="JFI2" s="13"/>
      <c r="JFJ2" s="13"/>
      <c r="JFK2" s="13"/>
      <c r="JFL2" s="13"/>
      <c r="JFM2" s="13"/>
      <c r="JFN2" s="13"/>
      <c r="JFO2" s="13"/>
      <c r="JFP2" s="13"/>
      <c r="JFQ2" s="13"/>
      <c r="JFR2" s="13"/>
      <c r="JFS2" s="13"/>
      <c r="JFT2" s="13"/>
      <c r="JFU2" s="13"/>
      <c r="JFV2" s="13"/>
      <c r="JFW2" s="13"/>
      <c r="JFX2" s="13"/>
      <c r="JFY2" s="13"/>
      <c r="JFZ2" s="13"/>
      <c r="JGA2" s="13"/>
      <c r="JGB2" s="13"/>
      <c r="JGC2" s="13"/>
      <c r="JGD2" s="13"/>
      <c r="JGE2" s="13"/>
      <c r="JGF2" s="13"/>
      <c r="JGG2" s="13"/>
      <c r="JGH2" s="13"/>
      <c r="JGI2" s="13"/>
      <c r="JGJ2" s="13"/>
      <c r="JGK2" s="13"/>
      <c r="JGL2" s="13"/>
      <c r="JGM2" s="13"/>
      <c r="JGN2" s="13"/>
      <c r="JGO2" s="13"/>
      <c r="JGP2" s="13"/>
      <c r="JGQ2" s="13"/>
      <c r="JGR2" s="13"/>
      <c r="JGS2" s="13"/>
      <c r="JGT2" s="13"/>
      <c r="JGU2" s="13"/>
      <c r="JGV2" s="13"/>
      <c r="JGW2" s="13"/>
      <c r="JGX2" s="13"/>
      <c r="JGY2" s="13"/>
      <c r="JGZ2" s="13"/>
      <c r="JHA2" s="13"/>
      <c r="JHB2" s="13"/>
      <c r="JHC2" s="13"/>
      <c r="JHD2" s="13"/>
      <c r="JHE2" s="13"/>
      <c r="JHF2" s="13"/>
      <c r="JHG2" s="13"/>
      <c r="JHH2" s="13"/>
      <c r="JHI2" s="13"/>
      <c r="JHJ2" s="13"/>
      <c r="JHK2" s="13"/>
      <c r="JHL2" s="13"/>
      <c r="JHM2" s="13"/>
      <c r="JHN2" s="13"/>
      <c r="JHO2" s="13"/>
      <c r="JHP2" s="13"/>
      <c r="JHQ2" s="13"/>
      <c r="JHR2" s="13"/>
      <c r="JHS2" s="13"/>
      <c r="JHT2" s="13"/>
      <c r="JHU2" s="13"/>
      <c r="JHV2" s="13"/>
      <c r="JHW2" s="13"/>
      <c r="JHX2" s="13"/>
      <c r="JHY2" s="13"/>
      <c r="JHZ2" s="13"/>
      <c r="JIA2" s="13"/>
      <c r="JIB2" s="13"/>
      <c r="JIC2" s="13"/>
      <c r="JID2" s="13"/>
      <c r="JIE2" s="13"/>
      <c r="JIF2" s="13"/>
      <c r="JIG2" s="13"/>
      <c r="JIH2" s="13"/>
      <c r="JII2" s="13"/>
      <c r="JIJ2" s="13"/>
      <c r="JIK2" s="13"/>
      <c r="JIL2" s="13"/>
      <c r="JIM2" s="13"/>
      <c r="JIN2" s="13"/>
      <c r="JIO2" s="13"/>
      <c r="JIP2" s="13"/>
      <c r="JIQ2" s="13"/>
      <c r="JIR2" s="13"/>
      <c r="JIS2" s="13"/>
      <c r="JIT2" s="13"/>
      <c r="JIU2" s="13"/>
      <c r="JIV2" s="13"/>
      <c r="JIW2" s="13"/>
      <c r="JIX2" s="13"/>
      <c r="JIY2" s="13"/>
      <c r="JIZ2" s="13"/>
      <c r="JJA2" s="13"/>
      <c r="JJB2" s="13"/>
      <c r="JJC2" s="13"/>
      <c r="JJD2" s="13"/>
      <c r="JJE2" s="13"/>
      <c r="JJF2" s="13"/>
      <c r="JJG2" s="13"/>
      <c r="JJH2" s="13"/>
      <c r="JJI2" s="13"/>
      <c r="JJJ2" s="13"/>
      <c r="JJK2" s="13"/>
      <c r="JJL2" s="13"/>
      <c r="JJM2" s="13"/>
      <c r="JJN2" s="13"/>
      <c r="JJO2" s="13"/>
      <c r="JJP2" s="13"/>
      <c r="JJQ2" s="13"/>
      <c r="JJR2" s="13"/>
      <c r="JJS2" s="13"/>
      <c r="JJT2" s="13"/>
      <c r="JJU2" s="13"/>
      <c r="JJV2" s="13"/>
      <c r="JJW2" s="13"/>
      <c r="JJX2" s="13"/>
      <c r="JJY2" s="13"/>
      <c r="JJZ2" s="13"/>
      <c r="JKA2" s="13"/>
      <c r="JKB2" s="13"/>
      <c r="JKC2" s="13"/>
      <c r="JKD2" s="13"/>
      <c r="JKE2" s="13"/>
      <c r="JKF2" s="13"/>
      <c r="JKG2" s="13"/>
      <c r="JKH2" s="13"/>
      <c r="JKI2" s="13"/>
      <c r="JKJ2" s="13"/>
      <c r="JKK2" s="13"/>
      <c r="JKL2" s="13"/>
      <c r="JKM2" s="13"/>
      <c r="JKN2" s="13"/>
      <c r="JKO2" s="13"/>
      <c r="JKP2" s="13"/>
      <c r="JKQ2" s="13"/>
      <c r="JKR2" s="13"/>
      <c r="JKS2" s="13"/>
      <c r="JKT2" s="13"/>
      <c r="JKU2" s="13"/>
      <c r="JKV2" s="13"/>
      <c r="JKW2" s="13"/>
      <c r="JKX2" s="13"/>
      <c r="JKY2" s="13"/>
      <c r="JKZ2" s="13"/>
      <c r="JLA2" s="13"/>
      <c r="JLB2" s="13"/>
      <c r="JLC2" s="13"/>
      <c r="JLD2" s="13"/>
      <c r="JLE2" s="13"/>
      <c r="JLF2" s="13"/>
      <c r="JLG2" s="13"/>
      <c r="JLH2" s="13"/>
      <c r="JLI2" s="13"/>
      <c r="JLJ2" s="13"/>
      <c r="JLK2" s="13"/>
      <c r="JLL2" s="13"/>
      <c r="JLM2" s="13"/>
      <c r="JLN2" s="13"/>
      <c r="JLO2" s="13"/>
      <c r="JLP2" s="13"/>
      <c r="JLQ2" s="13"/>
      <c r="JLR2" s="13"/>
      <c r="JLS2" s="13"/>
      <c r="JLT2" s="13"/>
      <c r="JLU2" s="13"/>
      <c r="JLV2" s="13"/>
      <c r="JLW2" s="13"/>
      <c r="JLX2" s="13"/>
      <c r="JLY2" s="13"/>
      <c r="JLZ2" s="13"/>
      <c r="JMA2" s="13"/>
      <c r="JMB2" s="13"/>
      <c r="JMC2" s="13"/>
      <c r="JMD2" s="13"/>
      <c r="JME2" s="13"/>
      <c r="JMF2" s="13"/>
      <c r="JMG2" s="13"/>
      <c r="JMH2" s="13"/>
      <c r="JMI2" s="13"/>
      <c r="JMJ2" s="13"/>
      <c r="JMK2" s="13"/>
      <c r="JML2" s="13"/>
      <c r="JMM2" s="13"/>
      <c r="JMN2" s="13"/>
      <c r="JMO2" s="13"/>
      <c r="JMP2" s="13"/>
      <c r="JMQ2" s="13"/>
      <c r="JMR2" s="13"/>
      <c r="JMS2" s="13"/>
      <c r="JMT2" s="13"/>
      <c r="JMU2" s="13"/>
      <c r="JMV2" s="13"/>
      <c r="JMW2" s="13"/>
      <c r="JMX2" s="13"/>
      <c r="JMY2" s="13"/>
      <c r="JMZ2" s="13"/>
      <c r="JNA2" s="13"/>
      <c r="JNB2" s="13"/>
      <c r="JNC2" s="13"/>
      <c r="JND2" s="13"/>
      <c r="JNE2" s="13"/>
      <c r="JNF2" s="13"/>
      <c r="JNG2" s="13"/>
      <c r="JNH2" s="13"/>
      <c r="JNI2" s="13"/>
      <c r="JNJ2" s="13"/>
      <c r="JNK2" s="13"/>
      <c r="JNL2" s="13"/>
      <c r="JNM2" s="13"/>
      <c r="JNN2" s="13"/>
      <c r="JNO2" s="13"/>
      <c r="JNP2" s="13"/>
      <c r="JNQ2" s="13"/>
      <c r="JNR2" s="13"/>
      <c r="JNS2" s="13"/>
      <c r="JNT2" s="13"/>
      <c r="JNU2" s="13"/>
      <c r="JNV2" s="13"/>
      <c r="JNW2" s="13"/>
      <c r="JNX2" s="13"/>
      <c r="JNY2" s="13"/>
      <c r="JNZ2" s="13"/>
      <c r="JOA2" s="13"/>
      <c r="JOB2" s="13"/>
      <c r="JOC2" s="13"/>
      <c r="JOD2" s="13"/>
      <c r="JOE2" s="13"/>
      <c r="JOF2" s="13"/>
      <c r="JOG2" s="13"/>
      <c r="JOH2" s="13"/>
      <c r="JOI2" s="13"/>
      <c r="JOJ2" s="13"/>
      <c r="JOK2" s="13"/>
      <c r="JOL2" s="13"/>
      <c r="JOM2" s="13"/>
      <c r="JON2" s="13"/>
      <c r="JOO2" s="13"/>
      <c r="JOP2" s="13"/>
      <c r="JOQ2" s="13"/>
      <c r="JOR2" s="13"/>
      <c r="JOS2" s="13"/>
      <c r="JOT2" s="13"/>
      <c r="JOU2" s="13"/>
      <c r="JOV2" s="13"/>
      <c r="JOW2" s="13"/>
      <c r="JOX2" s="13"/>
      <c r="JOY2" s="13"/>
      <c r="JOZ2" s="13"/>
      <c r="JPA2" s="13"/>
      <c r="JPB2" s="13"/>
      <c r="JPC2" s="13"/>
      <c r="JPD2" s="13"/>
      <c r="JPE2" s="13"/>
      <c r="JPF2" s="13"/>
      <c r="JPG2" s="13"/>
      <c r="JPH2" s="13"/>
      <c r="JPI2" s="13"/>
      <c r="JPJ2" s="13"/>
      <c r="JPK2" s="13"/>
      <c r="JPL2" s="13"/>
      <c r="JPM2" s="13"/>
      <c r="JPN2" s="13"/>
      <c r="JPO2" s="13"/>
      <c r="JPP2" s="13"/>
      <c r="JPQ2" s="13"/>
      <c r="JPR2" s="13"/>
      <c r="JPS2" s="13"/>
      <c r="JPT2" s="13"/>
      <c r="JPU2" s="13"/>
      <c r="JPV2" s="13"/>
      <c r="JPW2" s="13"/>
      <c r="JPX2" s="13"/>
      <c r="JPY2" s="13"/>
      <c r="JPZ2" s="13"/>
      <c r="JQA2" s="13"/>
      <c r="JQB2" s="13"/>
      <c r="JQC2" s="13"/>
      <c r="JQD2" s="13"/>
      <c r="JQE2" s="13"/>
      <c r="JQF2" s="13"/>
      <c r="JQG2" s="13"/>
      <c r="JQH2" s="13"/>
      <c r="JQI2" s="13"/>
      <c r="JQJ2" s="13"/>
      <c r="JQK2" s="13"/>
      <c r="JQL2" s="13"/>
      <c r="JQM2" s="13"/>
      <c r="JQN2" s="13"/>
      <c r="JQO2" s="13"/>
      <c r="JQP2" s="13"/>
      <c r="JQQ2" s="13"/>
      <c r="JQR2" s="13"/>
      <c r="JQS2" s="13"/>
      <c r="JQT2" s="13"/>
      <c r="JQU2" s="13"/>
      <c r="JQV2" s="13"/>
      <c r="JQW2" s="13"/>
      <c r="JQX2" s="13"/>
      <c r="JQY2" s="13"/>
      <c r="JQZ2" s="13"/>
      <c r="JRA2" s="13"/>
      <c r="JRB2" s="13"/>
      <c r="JRC2" s="13"/>
      <c r="JRD2" s="13"/>
      <c r="JRE2" s="13"/>
      <c r="JRF2" s="13"/>
      <c r="JRG2" s="13"/>
      <c r="JRH2" s="13"/>
      <c r="JRI2" s="13"/>
      <c r="JRJ2" s="13"/>
      <c r="JRK2" s="13"/>
      <c r="JRL2" s="13"/>
      <c r="JRM2" s="13"/>
      <c r="JRN2" s="13"/>
      <c r="JRO2" s="13"/>
      <c r="JRP2" s="13"/>
      <c r="JRQ2" s="13"/>
      <c r="JRR2" s="13"/>
      <c r="JRS2" s="13"/>
      <c r="JRT2" s="13"/>
      <c r="JRU2" s="13"/>
      <c r="JRV2" s="13"/>
      <c r="JRW2" s="13"/>
      <c r="JRX2" s="13"/>
      <c r="JRY2" s="13"/>
      <c r="JRZ2" s="13"/>
      <c r="JSA2" s="13"/>
      <c r="JSB2" s="13"/>
      <c r="JSC2" s="13"/>
      <c r="JSD2" s="13"/>
      <c r="JSE2" s="13"/>
      <c r="JSF2" s="13"/>
      <c r="JSG2" s="13"/>
      <c r="JSH2" s="13"/>
      <c r="JSI2" s="13"/>
      <c r="JSJ2" s="13"/>
      <c r="JSK2" s="13"/>
      <c r="JSL2" s="13"/>
      <c r="JSM2" s="13"/>
      <c r="JSN2" s="13"/>
      <c r="JSO2" s="13"/>
      <c r="JSP2" s="13"/>
      <c r="JSQ2" s="13"/>
      <c r="JSR2" s="13"/>
      <c r="JSS2" s="13"/>
      <c r="JST2" s="13"/>
      <c r="JSU2" s="13"/>
      <c r="JSV2" s="13"/>
      <c r="JSW2" s="13"/>
      <c r="JSX2" s="13"/>
      <c r="JSY2" s="13"/>
      <c r="JSZ2" s="13"/>
      <c r="JTA2" s="13"/>
      <c r="JTB2" s="13"/>
      <c r="JTC2" s="13"/>
      <c r="JTD2" s="13"/>
      <c r="JTE2" s="13"/>
      <c r="JTF2" s="13"/>
      <c r="JTG2" s="13"/>
      <c r="JTH2" s="13"/>
      <c r="JTI2" s="13"/>
      <c r="JTJ2" s="13"/>
      <c r="JTK2" s="13"/>
      <c r="JTL2" s="13"/>
      <c r="JTM2" s="13"/>
      <c r="JTN2" s="13"/>
      <c r="JTO2" s="13"/>
      <c r="JTP2" s="13"/>
      <c r="JTQ2" s="13"/>
      <c r="JTR2" s="13"/>
      <c r="JTS2" s="13"/>
      <c r="JTT2" s="13"/>
      <c r="JTU2" s="13"/>
      <c r="JTV2" s="13"/>
      <c r="JTW2" s="13"/>
      <c r="JTX2" s="13"/>
      <c r="JTY2" s="13"/>
      <c r="JTZ2" s="13"/>
      <c r="JUA2" s="13"/>
      <c r="JUB2" s="13"/>
      <c r="JUC2" s="13"/>
      <c r="JUD2" s="13"/>
      <c r="JUE2" s="13"/>
      <c r="JUF2" s="13"/>
      <c r="JUG2" s="13"/>
      <c r="JUH2" s="13"/>
      <c r="JUI2" s="13"/>
      <c r="JUJ2" s="13"/>
      <c r="JUK2" s="13"/>
      <c r="JUL2" s="13"/>
      <c r="JUM2" s="13"/>
      <c r="JUN2" s="13"/>
      <c r="JUO2" s="13"/>
      <c r="JUP2" s="13"/>
      <c r="JUQ2" s="13"/>
      <c r="JUR2" s="13"/>
      <c r="JUS2" s="13"/>
      <c r="JUT2" s="13"/>
      <c r="JUU2" s="13"/>
      <c r="JUV2" s="13"/>
      <c r="JUW2" s="13"/>
      <c r="JUX2" s="13"/>
      <c r="JUY2" s="13"/>
      <c r="JUZ2" s="13"/>
      <c r="JVA2" s="13"/>
      <c r="JVB2" s="13"/>
      <c r="JVC2" s="13"/>
      <c r="JVD2" s="13"/>
      <c r="JVE2" s="13"/>
      <c r="JVF2" s="13"/>
      <c r="JVG2" s="13"/>
      <c r="JVH2" s="13"/>
      <c r="JVI2" s="13"/>
      <c r="JVJ2" s="13"/>
      <c r="JVK2" s="13"/>
      <c r="JVL2" s="13"/>
      <c r="JVM2" s="13"/>
      <c r="JVN2" s="13"/>
      <c r="JVO2" s="13"/>
      <c r="JVP2" s="13"/>
      <c r="JVQ2" s="13"/>
      <c r="JVR2" s="13"/>
      <c r="JVS2" s="13"/>
      <c r="JVT2" s="13"/>
      <c r="JVU2" s="13"/>
      <c r="JVV2" s="13"/>
      <c r="JVW2" s="13"/>
      <c r="JVX2" s="13"/>
      <c r="JVY2" s="13"/>
      <c r="JVZ2" s="13"/>
      <c r="JWA2" s="13"/>
      <c r="JWB2" s="13"/>
      <c r="JWC2" s="13"/>
      <c r="JWD2" s="13"/>
      <c r="JWE2" s="13"/>
      <c r="JWF2" s="13"/>
      <c r="JWG2" s="13"/>
      <c r="JWH2" s="13"/>
      <c r="JWI2" s="13"/>
      <c r="JWJ2" s="13"/>
      <c r="JWK2" s="13"/>
      <c r="JWL2" s="13"/>
      <c r="JWM2" s="13"/>
      <c r="JWN2" s="13"/>
      <c r="JWO2" s="13"/>
      <c r="JWP2" s="13"/>
      <c r="JWQ2" s="13"/>
      <c r="JWR2" s="13"/>
      <c r="JWS2" s="13"/>
      <c r="JWT2" s="13"/>
      <c r="JWU2" s="13"/>
      <c r="JWV2" s="13"/>
      <c r="JWW2" s="13"/>
      <c r="JWX2" s="13"/>
      <c r="JWY2" s="13"/>
      <c r="JWZ2" s="13"/>
      <c r="JXA2" s="13"/>
      <c r="JXB2" s="13"/>
      <c r="JXC2" s="13"/>
      <c r="JXD2" s="13"/>
      <c r="JXE2" s="13"/>
      <c r="JXF2" s="13"/>
      <c r="JXG2" s="13"/>
      <c r="JXH2" s="13"/>
      <c r="JXI2" s="13"/>
      <c r="JXJ2" s="13"/>
      <c r="JXK2" s="13"/>
      <c r="JXL2" s="13"/>
      <c r="JXM2" s="13"/>
      <c r="JXN2" s="13"/>
      <c r="JXO2" s="13"/>
      <c r="JXP2" s="13"/>
      <c r="JXQ2" s="13"/>
      <c r="JXR2" s="13"/>
      <c r="JXS2" s="13"/>
      <c r="JXT2" s="13"/>
      <c r="JXU2" s="13"/>
      <c r="JXV2" s="13"/>
      <c r="JXW2" s="13"/>
      <c r="JXX2" s="13"/>
      <c r="JXY2" s="13"/>
      <c r="JXZ2" s="13"/>
      <c r="JYA2" s="13"/>
      <c r="JYB2" s="13"/>
      <c r="JYC2" s="13"/>
      <c r="JYD2" s="13"/>
      <c r="JYE2" s="13"/>
      <c r="JYF2" s="13"/>
      <c r="JYG2" s="13"/>
      <c r="JYH2" s="13"/>
      <c r="JYI2" s="13"/>
      <c r="JYJ2" s="13"/>
      <c r="JYK2" s="13"/>
      <c r="JYL2" s="13"/>
      <c r="JYM2" s="13"/>
      <c r="JYN2" s="13"/>
      <c r="JYO2" s="13"/>
      <c r="JYP2" s="13"/>
      <c r="JYQ2" s="13"/>
      <c r="JYR2" s="13"/>
      <c r="JYS2" s="13"/>
      <c r="JYT2" s="13"/>
      <c r="JYU2" s="13"/>
      <c r="JYV2" s="13"/>
      <c r="JYW2" s="13"/>
      <c r="JYX2" s="13"/>
      <c r="JYY2" s="13"/>
      <c r="JYZ2" s="13"/>
      <c r="JZA2" s="13"/>
      <c r="JZB2" s="13"/>
      <c r="JZC2" s="13"/>
      <c r="JZD2" s="13"/>
      <c r="JZE2" s="13"/>
      <c r="JZF2" s="13"/>
      <c r="JZG2" s="13"/>
      <c r="JZH2" s="13"/>
      <c r="JZI2" s="13"/>
      <c r="JZJ2" s="13"/>
      <c r="JZK2" s="13"/>
      <c r="JZL2" s="13"/>
      <c r="JZM2" s="13"/>
      <c r="JZN2" s="13"/>
      <c r="JZO2" s="13"/>
      <c r="JZP2" s="13"/>
      <c r="JZQ2" s="13"/>
      <c r="JZR2" s="13"/>
      <c r="JZS2" s="13"/>
      <c r="JZT2" s="13"/>
      <c r="JZU2" s="13"/>
      <c r="JZV2" s="13"/>
      <c r="JZW2" s="13"/>
      <c r="JZX2" s="13"/>
      <c r="JZY2" s="13"/>
      <c r="JZZ2" s="13"/>
      <c r="KAA2" s="13"/>
      <c r="KAB2" s="13"/>
      <c r="KAC2" s="13"/>
      <c r="KAD2" s="13"/>
      <c r="KAE2" s="13"/>
      <c r="KAF2" s="13"/>
      <c r="KAG2" s="13"/>
      <c r="KAH2" s="13"/>
      <c r="KAI2" s="13"/>
      <c r="KAJ2" s="13"/>
      <c r="KAK2" s="13"/>
      <c r="KAL2" s="13"/>
      <c r="KAM2" s="13"/>
      <c r="KAN2" s="13"/>
      <c r="KAO2" s="13"/>
      <c r="KAP2" s="13"/>
      <c r="KAQ2" s="13"/>
      <c r="KAR2" s="13"/>
      <c r="KAS2" s="13"/>
      <c r="KAT2" s="13"/>
      <c r="KAU2" s="13"/>
      <c r="KAV2" s="13"/>
      <c r="KAW2" s="13"/>
      <c r="KAX2" s="13"/>
      <c r="KAY2" s="13"/>
      <c r="KAZ2" s="13"/>
      <c r="KBA2" s="13"/>
      <c r="KBB2" s="13"/>
      <c r="KBC2" s="13"/>
      <c r="KBD2" s="13"/>
      <c r="KBE2" s="13"/>
      <c r="KBF2" s="13"/>
      <c r="KBG2" s="13"/>
      <c r="KBH2" s="13"/>
      <c r="KBI2" s="13"/>
      <c r="KBJ2" s="13"/>
      <c r="KBK2" s="13"/>
      <c r="KBL2" s="13"/>
      <c r="KBM2" s="13"/>
      <c r="KBN2" s="13"/>
      <c r="KBO2" s="13"/>
      <c r="KBP2" s="13"/>
      <c r="KBQ2" s="13"/>
      <c r="KBR2" s="13"/>
      <c r="KBS2" s="13"/>
      <c r="KBT2" s="13"/>
      <c r="KBU2" s="13"/>
      <c r="KBV2" s="13"/>
      <c r="KBW2" s="13"/>
      <c r="KBX2" s="13"/>
      <c r="KBY2" s="13"/>
      <c r="KBZ2" s="13"/>
      <c r="KCA2" s="13"/>
      <c r="KCB2" s="13"/>
      <c r="KCC2" s="13"/>
      <c r="KCD2" s="13"/>
      <c r="KCE2" s="13"/>
      <c r="KCF2" s="13"/>
      <c r="KCG2" s="13"/>
      <c r="KCH2" s="13"/>
      <c r="KCI2" s="13"/>
      <c r="KCJ2" s="13"/>
      <c r="KCK2" s="13"/>
      <c r="KCL2" s="13"/>
      <c r="KCM2" s="13"/>
      <c r="KCN2" s="13"/>
      <c r="KCO2" s="13"/>
      <c r="KCP2" s="13"/>
      <c r="KCQ2" s="13"/>
      <c r="KCR2" s="13"/>
      <c r="KCS2" s="13"/>
      <c r="KCT2" s="13"/>
      <c r="KCU2" s="13"/>
      <c r="KCV2" s="13"/>
      <c r="KCW2" s="13"/>
      <c r="KCX2" s="13"/>
      <c r="KCY2" s="13"/>
      <c r="KCZ2" s="13"/>
      <c r="KDA2" s="13"/>
      <c r="KDB2" s="13"/>
      <c r="KDC2" s="13"/>
      <c r="KDD2" s="13"/>
      <c r="KDE2" s="13"/>
      <c r="KDF2" s="13"/>
      <c r="KDG2" s="13"/>
      <c r="KDH2" s="13"/>
      <c r="KDI2" s="13"/>
      <c r="KDJ2" s="13"/>
      <c r="KDK2" s="13"/>
      <c r="KDL2" s="13"/>
      <c r="KDM2" s="13"/>
      <c r="KDN2" s="13"/>
      <c r="KDO2" s="13"/>
      <c r="KDP2" s="13"/>
      <c r="KDQ2" s="13"/>
      <c r="KDR2" s="13"/>
      <c r="KDS2" s="13"/>
      <c r="KDT2" s="13"/>
      <c r="KDU2" s="13"/>
      <c r="KDV2" s="13"/>
      <c r="KDW2" s="13"/>
      <c r="KDX2" s="13"/>
      <c r="KDY2" s="13"/>
      <c r="KDZ2" s="13"/>
      <c r="KEA2" s="13"/>
      <c r="KEB2" s="13"/>
      <c r="KEC2" s="13"/>
      <c r="KED2" s="13"/>
      <c r="KEE2" s="13"/>
      <c r="KEF2" s="13"/>
      <c r="KEG2" s="13"/>
      <c r="KEH2" s="13"/>
      <c r="KEI2" s="13"/>
      <c r="KEJ2" s="13"/>
      <c r="KEK2" s="13"/>
      <c r="KEL2" s="13"/>
      <c r="KEM2" s="13"/>
      <c r="KEN2" s="13"/>
      <c r="KEO2" s="13"/>
      <c r="KEP2" s="13"/>
      <c r="KEQ2" s="13"/>
      <c r="KER2" s="13"/>
      <c r="KES2" s="13"/>
      <c r="KET2" s="13"/>
      <c r="KEU2" s="13"/>
      <c r="KEV2" s="13"/>
      <c r="KEW2" s="13"/>
      <c r="KEX2" s="13"/>
      <c r="KEY2" s="13"/>
      <c r="KEZ2" s="13"/>
      <c r="KFA2" s="13"/>
      <c r="KFB2" s="13"/>
      <c r="KFC2" s="13"/>
      <c r="KFD2" s="13"/>
      <c r="KFE2" s="13"/>
      <c r="KFF2" s="13"/>
      <c r="KFG2" s="13"/>
      <c r="KFH2" s="13"/>
      <c r="KFI2" s="13"/>
      <c r="KFJ2" s="13"/>
      <c r="KFK2" s="13"/>
      <c r="KFL2" s="13"/>
      <c r="KFM2" s="13"/>
      <c r="KFN2" s="13"/>
      <c r="KFO2" s="13"/>
      <c r="KFP2" s="13"/>
      <c r="KFQ2" s="13"/>
      <c r="KFR2" s="13"/>
      <c r="KFS2" s="13"/>
      <c r="KFT2" s="13"/>
      <c r="KFU2" s="13"/>
      <c r="KFV2" s="13"/>
      <c r="KFW2" s="13"/>
      <c r="KFX2" s="13"/>
      <c r="KFY2" s="13"/>
      <c r="KFZ2" s="13"/>
      <c r="KGA2" s="13"/>
      <c r="KGB2" s="13"/>
      <c r="KGC2" s="13"/>
      <c r="KGD2" s="13"/>
      <c r="KGE2" s="13"/>
      <c r="KGF2" s="13"/>
      <c r="KGG2" s="13"/>
      <c r="KGH2" s="13"/>
      <c r="KGI2" s="13"/>
      <c r="KGJ2" s="13"/>
      <c r="KGK2" s="13"/>
      <c r="KGL2" s="13"/>
      <c r="KGM2" s="13"/>
      <c r="KGN2" s="13"/>
      <c r="KGO2" s="13"/>
      <c r="KGP2" s="13"/>
      <c r="KGQ2" s="13"/>
      <c r="KGR2" s="13"/>
      <c r="KGS2" s="13"/>
      <c r="KGT2" s="13"/>
      <c r="KGU2" s="13"/>
      <c r="KGV2" s="13"/>
      <c r="KGW2" s="13"/>
      <c r="KGX2" s="13"/>
      <c r="KGY2" s="13"/>
      <c r="KGZ2" s="13"/>
      <c r="KHA2" s="13"/>
      <c r="KHB2" s="13"/>
      <c r="KHC2" s="13"/>
      <c r="KHD2" s="13"/>
      <c r="KHE2" s="13"/>
      <c r="KHF2" s="13"/>
      <c r="KHG2" s="13"/>
      <c r="KHH2" s="13"/>
      <c r="KHI2" s="13"/>
      <c r="KHJ2" s="13"/>
      <c r="KHK2" s="13"/>
      <c r="KHL2" s="13"/>
      <c r="KHM2" s="13"/>
      <c r="KHN2" s="13"/>
      <c r="KHO2" s="13"/>
      <c r="KHP2" s="13"/>
      <c r="KHQ2" s="13"/>
      <c r="KHR2" s="13"/>
      <c r="KHS2" s="13"/>
      <c r="KHT2" s="13"/>
      <c r="KHU2" s="13"/>
      <c r="KHV2" s="13"/>
      <c r="KHW2" s="13"/>
      <c r="KHX2" s="13"/>
      <c r="KHY2" s="13"/>
      <c r="KHZ2" s="13"/>
      <c r="KIA2" s="13"/>
      <c r="KIB2" s="13"/>
      <c r="KIC2" s="13"/>
      <c r="KID2" s="13"/>
      <c r="KIE2" s="13"/>
      <c r="KIF2" s="13"/>
      <c r="KIG2" s="13"/>
      <c r="KIH2" s="13"/>
      <c r="KII2" s="13"/>
      <c r="KIJ2" s="13"/>
      <c r="KIK2" s="13"/>
      <c r="KIL2" s="13"/>
      <c r="KIM2" s="13"/>
      <c r="KIN2" s="13"/>
      <c r="KIO2" s="13"/>
      <c r="KIP2" s="13"/>
      <c r="KIQ2" s="13"/>
      <c r="KIR2" s="13"/>
      <c r="KIS2" s="13"/>
      <c r="KIT2" s="13"/>
      <c r="KIU2" s="13"/>
      <c r="KIV2" s="13"/>
      <c r="KIW2" s="13"/>
      <c r="KIX2" s="13"/>
      <c r="KIY2" s="13"/>
      <c r="KIZ2" s="13"/>
      <c r="KJA2" s="13"/>
      <c r="KJB2" s="13"/>
      <c r="KJC2" s="13"/>
      <c r="KJD2" s="13"/>
      <c r="KJE2" s="13"/>
      <c r="KJF2" s="13"/>
      <c r="KJG2" s="13"/>
      <c r="KJH2" s="13"/>
      <c r="KJI2" s="13"/>
      <c r="KJJ2" s="13"/>
      <c r="KJK2" s="13"/>
      <c r="KJL2" s="13"/>
      <c r="KJM2" s="13"/>
      <c r="KJN2" s="13"/>
      <c r="KJO2" s="13"/>
      <c r="KJP2" s="13"/>
      <c r="KJQ2" s="13"/>
      <c r="KJR2" s="13"/>
      <c r="KJS2" s="13"/>
      <c r="KJT2" s="13"/>
      <c r="KJU2" s="13"/>
      <c r="KJV2" s="13"/>
      <c r="KJW2" s="13"/>
      <c r="KJX2" s="13"/>
      <c r="KJY2" s="13"/>
      <c r="KJZ2" s="13"/>
      <c r="KKA2" s="13"/>
      <c r="KKB2" s="13"/>
      <c r="KKC2" s="13"/>
      <c r="KKD2" s="13"/>
      <c r="KKE2" s="13"/>
      <c r="KKF2" s="13"/>
      <c r="KKG2" s="13"/>
      <c r="KKH2" s="13"/>
      <c r="KKI2" s="13"/>
      <c r="KKJ2" s="13"/>
      <c r="KKK2" s="13"/>
      <c r="KKL2" s="13"/>
      <c r="KKM2" s="13"/>
      <c r="KKN2" s="13"/>
      <c r="KKO2" s="13"/>
      <c r="KKP2" s="13"/>
      <c r="KKQ2" s="13"/>
      <c r="KKR2" s="13"/>
      <c r="KKS2" s="13"/>
      <c r="KKT2" s="13"/>
      <c r="KKU2" s="13"/>
      <c r="KKV2" s="13"/>
      <c r="KKW2" s="13"/>
      <c r="KKX2" s="13"/>
      <c r="KKY2" s="13"/>
      <c r="KKZ2" s="13"/>
      <c r="KLA2" s="13"/>
      <c r="KLB2" s="13"/>
      <c r="KLC2" s="13"/>
      <c r="KLD2" s="13"/>
      <c r="KLE2" s="13"/>
      <c r="KLF2" s="13"/>
      <c r="KLG2" s="13"/>
      <c r="KLH2" s="13"/>
      <c r="KLI2" s="13"/>
      <c r="KLJ2" s="13"/>
      <c r="KLK2" s="13"/>
      <c r="KLL2" s="13"/>
      <c r="KLM2" s="13"/>
      <c r="KLN2" s="13"/>
      <c r="KLO2" s="13"/>
      <c r="KLP2" s="13"/>
      <c r="KLQ2" s="13"/>
      <c r="KLR2" s="13"/>
      <c r="KLS2" s="13"/>
      <c r="KLT2" s="13"/>
      <c r="KLU2" s="13"/>
      <c r="KLV2" s="13"/>
      <c r="KLW2" s="13"/>
      <c r="KLX2" s="13"/>
      <c r="KLY2" s="13"/>
      <c r="KLZ2" s="13"/>
      <c r="KMA2" s="13"/>
      <c r="KMB2" s="13"/>
      <c r="KMC2" s="13"/>
      <c r="KMD2" s="13"/>
      <c r="KME2" s="13"/>
      <c r="KMF2" s="13"/>
      <c r="KMG2" s="13"/>
      <c r="KMH2" s="13"/>
      <c r="KMI2" s="13"/>
      <c r="KMJ2" s="13"/>
      <c r="KMK2" s="13"/>
      <c r="KML2" s="13"/>
      <c r="KMM2" s="13"/>
      <c r="KMN2" s="13"/>
      <c r="KMO2" s="13"/>
      <c r="KMP2" s="13"/>
      <c r="KMQ2" s="13"/>
      <c r="KMR2" s="13"/>
      <c r="KMS2" s="13"/>
      <c r="KMT2" s="13"/>
      <c r="KMU2" s="13"/>
      <c r="KMV2" s="13"/>
      <c r="KMW2" s="13"/>
      <c r="KMX2" s="13"/>
      <c r="KMY2" s="13"/>
      <c r="KMZ2" s="13"/>
      <c r="KNA2" s="13"/>
      <c r="KNB2" s="13"/>
      <c r="KNC2" s="13"/>
      <c r="KND2" s="13"/>
      <c r="KNE2" s="13"/>
      <c r="KNF2" s="13"/>
      <c r="KNG2" s="13"/>
      <c r="KNH2" s="13"/>
      <c r="KNI2" s="13"/>
      <c r="KNJ2" s="13"/>
      <c r="KNK2" s="13"/>
      <c r="KNL2" s="13"/>
      <c r="KNM2" s="13"/>
      <c r="KNN2" s="13"/>
      <c r="KNO2" s="13"/>
      <c r="KNP2" s="13"/>
      <c r="KNQ2" s="13"/>
      <c r="KNR2" s="13"/>
      <c r="KNS2" s="13"/>
      <c r="KNT2" s="13"/>
      <c r="KNU2" s="13"/>
      <c r="KNV2" s="13"/>
      <c r="KNW2" s="13"/>
      <c r="KNX2" s="13"/>
      <c r="KNY2" s="13"/>
      <c r="KNZ2" s="13"/>
      <c r="KOA2" s="13"/>
      <c r="KOB2" s="13"/>
      <c r="KOC2" s="13"/>
      <c r="KOD2" s="13"/>
      <c r="KOE2" s="13"/>
      <c r="KOF2" s="13"/>
      <c r="KOG2" s="13"/>
      <c r="KOH2" s="13"/>
      <c r="KOI2" s="13"/>
      <c r="KOJ2" s="13"/>
      <c r="KOK2" s="13"/>
      <c r="KOL2" s="13"/>
      <c r="KOM2" s="13"/>
      <c r="KON2" s="13"/>
      <c r="KOO2" s="13"/>
      <c r="KOP2" s="13"/>
      <c r="KOQ2" s="13"/>
      <c r="KOR2" s="13"/>
      <c r="KOS2" s="13"/>
      <c r="KOT2" s="13"/>
      <c r="KOU2" s="13"/>
      <c r="KOV2" s="13"/>
      <c r="KOW2" s="13"/>
      <c r="KOX2" s="13"/>
      <c r="KOY2" s="13"/>
      <c r="KOZ2" s="13"/>
      <c r="KPA2" s="13"/>
      <c r="KPB2" s="13"/>
      <c r="KPC2" s="13"/>
      <c r="KPD2" s="13"/>
      <c r="KPE2" s="13"/>
      <c r="KPF2" s="13"/>
      <c r="KPG2" s="13"/>
      <c r="KPH2" s="13"/>
      <c r="KPI2" s="13"/>
      <c r="KPJ2" s="13"/>
      <c r="KPK2" s="13"/>
      <c r="KPL2" s="13"/>
      <c r="KPM2" s="13"/>
      <c r="KPN2" s="13"/>
      <c r="KPO2" s="13"/>
      <c r="KPP2" s="13"/>
      <c r="KPQ2" s="13"/>
      <c r="KPR2" s="13"/>
      <c r="KPS2" s="13"/>
      <c r="KPT2" s="13"/>
      <c r="KPU2" s="13"/>
      <c r="KPV2" s="13"/>
      <c r="KPW2" s="13"/>
      <c r="KPX2" s="13"/>
      <c r="KPY2" s="13"/>
      <c r="KPZ2" s="13"/>
      <c r="KQA2" s="13"/>
      <c r="KQB2" s="13"/>
      <c r="KQC2" s="13"/>
      <c r="KQD2" s="13"/>
      <c r="KQE2" s="13"/>
      <c r="KQF2" s="13"/>
      <c r="KQG2" s="13"/>
      <c r="KQH2" s="13"/>
      <c r="KQI2" s="13"/>
      <c r="KQJ2" s="13"/>
      <c r="KQK2" s="13"/>
      <c r="KQL2" s="13"/>
      <c r="KQM2" s="13"/>
      <c r="KQN2" s="13"/>
      <c r="KQO2" s="13"/>
      <c r="KQP2" s="13"/>
      <c r="KQQ2" s="13"/>
      <c r="KQR2" s="13"/>
      <c r="KQS2" s="13"/>
      <c r="KQT2" s="13"/>
      <c r="KQU2" s="13"/>
      <c r="KQV2" s="13"/>
      <c r="KQW2" s="13"/>
      <c r="KQX2" s="13"/>
      <c r="KQY2" s="13"/>
      <c r="KQZ2" s="13"/>
      <c r="KRA2" s="13"/>
      <c r="KRB2" s="13"/>
      <c r="KRC2" s="13"/>
      <c r="KRD2" s="13"/>
      <c r="KRE2" s="13"/>
      <c r="KRF2" s="13"/>
      <c r="KRG2" s="13"/>
      <c r="KRH2" s="13"/>
      <c r="KRI2" s="13"/>
      <c r="KRJ2" s="13"/>
      <c r="KRK2" s="13"/>
      <c r="KRL2" s="13"/>
      <c r="KRM2" s="13"/>
      <c r="KRN2" s="13"/>
      <c r="KRO2" s="13"/>
      <c r="KRP2" s="13"/>
      <c r="KRQ2" s="13"/>
      <c r="KRR2" s="13"/>
      <c r="KRS2" s="13"/>
      <c r="KRT2" s="13"/>
      <c r="KRU2" s="13"/>
      <c r="KRV2" s="13"/>
      <c r="KRW2" s="13"/>
      <c r="KRX2" s="13"/>
      <c r="KRY2" s="13"/>
      <c r="KRZ2" s="13"/>
      <c r="KSA2" s="13"/>
      <c r="KSB2" s="13"/>
      <c r="KSC2" s="13"/>
      <c r="KSD2" s="13"/>
      <c r="KSE2" s="13"/>
      <c r="KSF2" s="13"/>
      <c r="KSG2" s="13"/>
      <c r="KSH2" s="13"/>
      <c r="KSI2" s="13"/>
      <c r="KSJ2" s="13"/>
      <c r="KSK2" s="13"/>
      <c r="KSL2" s="13"/>
      <c r="KSM2" s="13"/>
      <c r="KSN2" s="13"/>
      <c r="KSO2" s="13"/>
      <c r="KSP2" s="13"/>
      <c r="KSQ2" s="13"/>
      <c r="KSR2" s="13"/>
      <c r="KSS2" s="13"/>
      <c r="KST2" s="13"/>
      <c r="KSU2" s="13"/>
      <c r="KSV2" s="13"/>
      <c r="KSW2" s="13"/>
      <c r="KSX2" s="13"/>
      <c r="KSY2" s="13"/>
      <c r="KSZ2" s="13"/>
      <c r="KTA2" s="13"/>
      <c r="KTB2" s="13"/>
      <c r="KTC2" s="13"/>
      <c r="KTD2" s="13"/>
      <c r="KTE2" s="13"/>
      <c r="KTF2" s="13"/>
      <c r="KTG2" s="13"/>
      <c r="KTH2" s="13"/>
      <c r="KTI2" s="13"/>
      <c r="KTJ2" s="13"/>
      <c r="KTK2" s="13"/>
      <c r="KTL2" s="13"/>
      <c r="KTM2" s="13"/>
      <c r="KTN2" s="13"/>
      <c r="KTO2" s="13"/>
      <c r="KTP2" s="13"/>
      <c r="KTQ2" s="13"/>
      <c r="KTR2" s="13"/>
      <c r="KTS2" s="13"/>
      <c r="KTT2" s="13"/>
      <c r="KTU2" s="13"/>
      <c r="KTV2" s="13"/>
      <c r="KTW2" s="13"/>
      <c r="KTX2" s="13"/>
      <c r="KTY2" s="13"/>
      <c r="KTZ2" s="13"/>
      <c r="KUA2" s="13"/>
      <c r="KUB2" s="13"/>
      <c r="KUC2" s="13"/>
      <c r="KUD2" s="13"/>
      <c r="KUE2" s="13"/>
      <c r="KUF2" s="13"/>
      <c r="KUG2" s="13"/>
      <c r="KUH2" s="13"/>
      <c r="KUI2" s="13"/>
      <c r="KUJ2" s="13"/>
      <c r="KUK2" s="13"/>
      <c r="KUL2" s="13"/>
      <c r="KUM2" s="13"/>
      <c r="KUN2" s="13"/>
      <c r="KUO2" s="13"/>
      <c r="KUP2" s="13"/>
      <c r="KUQ2" s="13"/>
      <c r="KUR2" s="13"/>
      <c r="KUS2" s="13"/>
      <c r="KUT2" s="13"/>
      <c r="KUU2" s="13"/>
      <c r="KUV2" s="13"/>
      <c r="KUW2" s="13"/>
      <c r="KUX2" s="13"/>
      <c r="KUY2" s="13"/>
      <c r="KUZ2" s="13"/>
      <c r="KVA2" s="13"/>
      <c r="KVB2" s="13"/>
      <c r="KVC2" s="13"/>
      <c r="KVD2" s="13"/>
      <c r="KVE2" s="13"/>
      <c r="KVF2" s="13"/>
      <c r="KVG2" s="13"/>
      <c r="KVH2" s="13"/>
      <c r="KVI2" s="13"/>
      <c r="KVJ2" s="13"/>
      <c r="KVK2" s="13"/>
      <c r="KVL2" s="13"/>
      <c r="KVM2" s="13"/>
      <c r="KVN2" s="13"/>
      <c r="KVO2" s="13"/>
      <c r="KVP2" s="13"/>
      <c r="KVQ2" s="13"/>
      <c r="KVR2" s="13"/>
      <c r="KVS2" s="13"/>
      <c r="KVT2" s="13"/>
      <c r="KVU2" s="13"/>
      <c r="KVV2" s="13"/>
      <c r="KVW2" s="13"/>
      <c r="KVX2" s="13"/>
      <c r="KVY2" s="13"/>
      <c r="KVZ2" s="13"/>
      <c r="KWA2" s="13"/>
      <c r="KWB2" s="13"/>
      <c r="KWC2" s="13"/>
      <c r="KWD2" s="13"/>
      <c r="KWE2" s="13"/>
      <c r="KWF2" s="13"/>
      <c r="KWG2" s="13"/>
      <c r="KWH2" s="13"/>
      <c r="KWI2" s="13"/>
      <c r="KWJ2" s="13"/>
      <c r="KWK2" s="13"/>
      <c r="KWL2" s="13"/>
      <c r="KWM2" s="13"/>
      <c r="KWN2" s="13"/>
      <c r="KWO2" s="13"/>
      <c r="KWP2" s="13"/>
      <c r="KWQ2" s="13"/>
      <c r="KWR2" s="13"/>
      <c r="KWS2" s="13"/>
      <c r="KWT2" s="13"/>
      <c r="KWU2" s="13"/>
      <c r="KWV2" s="13"/>
      <c r="KWW2" s="13"/>
      <c r="KWX2" s="13"/>
      <c r="KWY2" s="13"/>
      <c r="KWZ2" s="13"/>
      <c r="KXA2" s="13"/>
      <c r="KXB2" s="13"/>
      <c r="KXC2" s="13"/>
      <c r="KXD2" s="13"/>
      <c r="KXE2" s="13"/>
      <c r="KXF2" s="13"/>
      <c r="KXG2" s="13"/>
      <c r="KXH2" s="13"/>
      <c r="KXI2" s="13"/>
      <c r="KXJ2" s="13"/>
      <c r="KXK2" s="13"/>
      <c r="KXL2" s="13"/>
      <c r="KXM2" s="13"/>
      <c r="KXN2" s="13"/>
      <c r="KXO2" s="13"/>
      <c r="KXP2" s="13"/>
      <c r="KXQ2" s="13"/>
      <c r="KXR2" s="13"/>
      <c r="KXS2" s="13"/>
      <c r="KXT2" s="13"/>
      <c r="KXU2" s="13"/>
      <c r="KXV2" s="13"/>
      <c r="KXW2" s="13"/>
      <c r="KXX2" s="13"/>
      <c r="KXY2" s="13"/>
      <c r="KXZ2" s="13"/>
      <c r="KYA2" s="13"/>
      <c r="KYB2" s="13"/>
      <c r="KYC2" s="13"/>
      <c r="KYD2" s="13"/>
      <c r="KYE2" s="13"/>
      <c r="KYF2" s="13"/>
      <c r="KYG2" s="13"/>
      <c r="KYH2" s="13"/>
      <c r="KYI2" s="13"/>
      <c r="KYJ2" s="13"/>
      <c r="KYK2" s="13"/>
      <c r="KYL2" s="13"/>
      <c r="KYM2" s="13"/>
      <c r="KYN2" s="13"/>
      <c r="KYO2" s="13"/>
      <c r="KYP2" s="13"/>
      <c r="KYQ2" s="13"/>
      <c r="KYR2" s="13"/>
      <c r="KYS2" s="13"/>
      <c r="KYT2" s="13"/>
      <c r="KYU2" s="13"/>
      <c r="KYV2" s="13"/>
      <c r="KYW2" s="13"/>
      <c r="KYX2" s="13"/>
      <c r="KYY2" s="13"/>
      <c r="KYZ2" s="13"/>
      <c r="KZA2" s="13"/>
      <c r="KZB2" s="13"/>
      <c r="KZC2" s="13"/>
      <c r="KZD2" s="13"/>
      <c r="KZE2" s="13"/>
      <c r="KZF2" s="13"/>
      <c r="KZG2" s="13"/>
      <c r="KZH2" s="13"/>
      <c r="KZI2" s="13"/>
      <c r="KZJ2" s="13"/>
      <c r="KZK2" s="13"/>
      <c r="KZL2" s="13"/>
      <c r="KZM2" s="13"/>
      <c r="KZN2" s="13"/>
      <c r="KZO2" s="13"/>
      <c r="KZP2" s="13"/>
      <c r="KZQ2" s="13"/>
      <c r="KZR2" s="13"/>
      <c r="KZS2" s="13"/>
      <c r="KZT2" s="13"/>
      <c r="KZU2" s="13"/>
      <c r="KZV2" s="13"/>
      <c r="KZW2" s="13"/>
      <c r="KZX2" s="13"/>
      <c r="KZY2" s="13"/>
      <c r="KZZ2" s="13"/>
      <c r="LAA2" s="13"/>
      <c r="LAB2" s="13"/>
      <c r="LAC2" s="13"/>
      <c r="LAD2" s="13"/>
      <c r="LAE2" s="13"/>
      <c r="LAF2" s="13"/>
      <c r="LAG2" s="13"/>
      <c r="LAH2" s="13"/>
      <c r="LAI2" s="13"/>
      <c r="LAJ2" s="13"/>
      <c r="LAK2" s="13"/>
      <c r="LAL2" s="13"/>
      <c r="LAM2" s="13"/>
      <c r="LAN2" s="13"/>
      <c r="LAO2" s="13"/>
      <c r="LAP2" s="13"/>
      <c r="LAQ2" s="13"/>
      <c r="LAR2" s="13"/>
      <c r="LAS2" s="13"/>
      <c r="LAT2" s="13"/>
      <c r="LAU2" s="13"/>
      <c r="LAV2" s="13"/>
      <c r="LAW2" s="13"/>
      <c r="LAX2" s="13"/>
      <c r="LAY2" s="13"/>
      <c r="LAZ2" s="13"/>
      <c r="LBA2" s="13"/>
      <c r="LBB2" s="13"/>
      <c r="LBC2" s="13"/>
      <c r="LBD2" s="13"/>
      <c r="LBE2" s="13"/>
      <c r="LBF2" s="13"/>
      <c r="LBG2" s="13"/>
      <c r="LBH2" s="13"/>
      <c r="LBI2" s="13"/>
      <c r="LBJ2" s="13"/>
      <c r="LBK2" s="13"/>
      <c r="LBL2" s="13"/>
      <c r="LBM2" s="13"/>
      <c r="LBN2" s="13"/>
      <c r="LBO2" s="13"/>
      <c r="LBP2" s="13"/>
      <c r="LBQ2" s="13"/>
      <c r="LBR2" s="13"/>
      <c r="LBS2" s="13"/>
      <c r="LBT2" s="13"/>
      <c r="LBU2" s="13"/>
      <c r="LBV2" s="13"/>
      <c r="LBW2" s="13"/>
      <c r="LBX2" s="13"/>
      <c r="LBY2" s="13"/>
      <c r="LBZ2" s="13"/>
      <c r="LCA2" s="13"/>
      <c r="LCB2" s="13"/>
      <c r="LCC2" s="13"/>
      <c r="LCD2" s="13"/>
      <c r="LCE2" s="13"/>
      <c r="LCF2" s="13"/>
      <c r="LCG2" s="13"/>
      <c r="LCH2" s="13"/>
      <c r="LCI2" s="13"/>
      <c r="LCJ2" s="13"/>
      <c r="LCK2" s="13"/>
      <c r="LCL2" s="13"/>
      <c r="LCM2" s="13"/>
      <c r="LCN2" s="13"/>
      <c r="LCO2" s="13"/>
      <c r="LCP2" s="13"/>
      <c r="LCQ2" s="13"/>
      <c r="LCR2" s="13"/>
      <c r="LCS2" s="13"/>
      <c r="LCT2" s="13"/>
      <c r="LCU2" s="13"/>
      <c r="LCV2" s="13"/>
      <c r="LCW2" s="13"/>
      <c r="LCX2" s="13"/>
      <c r="LCY2" s="13"/>
      <c r="LCZ2" s="13"/>
      <c r="LDA2" s="13"/>
      <c r="LDB2" s="13"/>
      <c r="LDC2" s="13"/>
      <c r="LDD2" s="13"/>
      <c r="LDE2" s="13"/>
      <c r="LDF2" s="13"/>
      <c r="LDG2" s="13"/>
      <c r="LDH2" s="13"/>
      <c r="LDI2" s="13"/>
      <c r="LDJ2" s="13"/>
      <c r="LDK2" s="13"/>
      <c r="LDL2" s="13"/>
      <c r="LDM2" s="13"/>
      <c r="LDN2" s="13"/>
      <c r="LDO2" s="13"/>
      <c r="LDP2" s="13"/>
      <c r="LDQ2" s="13"/>
      <c r="LDR2" s="13"/>
      <c r="LDS2" s="13"/>
      <c r="LDT2" s="13"/>
      <c r="LDU2" s="13"/>
      <c r="LDV2" s="13"/>
      <c r="LDW2" s="13"/>
      <c r="LDX2" s="13"/>
      <c r="LDY2" s="13"/>
      <c r="LDZ2" s="13"/>
      <c r="LEA2" s="13"/>
      <c r="LEB2" s="13"/>
      <c r="LEC2" s="13"/>
      <c r="LED2" s="13"/>
      <c r="LEE2" s="13"/>
      <c r="LEF2" s="13"/>
      <c r="LEG2" s="13"/>
      <c r="LEH2" s="13"/>
      <c r="LEI2" s="13"/>
      <c r="LEJ2" s="13"/>
      <c r="LEK2" s="13"/>
      <c r="LEL2" s="13"/>
      <c r="LEM2" s="13"/>
      <c r="LEN2" s="13"/>
      <c r="LEO2" s="13"/>
      <c r="LEP2" s="13"/>
      <c r="LEQ2" s="13"/>
      <c r="LER2" s="13"/>
      <c r="LES2" s="13"/>
      <c r="LET2" s="13"/>
      <c r="LEU2" s="13"/>
      <c r="LEV2" s="13"/>
      <c r="LEW2" s="13"/>
      <c r="LEX2" s="13"/>
      <c r="LEY2" s="13"/>
      <c r="LEZ2" s="13"/>
      <c r="LFA2" s="13"/>
      <c r="LFB2" s="13"/>
      <c r="LFC2" s="13"/>
      <c r="LFD2" s="13"/>
      <c r="LFE2" s="13"/>
      <c r="LFF2" s="13"/>
      <c r="LFG2" s="13"/>
      <c r="LFH2" s="13"/>
      <c r="LFI2" s="13"/>
      <c r="LFJ2" s="13"/>
      <c r="LFK2" s="13"/>
      <c r="LFL2" s="13"/>
      <c r="LFM2" s="13"/>
      <c r="LFN2" s="13"/>
      <c r="LFO2" s="13"/>
      <c r="LFP2" s="13"/>
      <c r="LFQ2" s="13"/>
      <c r="LFR2" s="13"/>
      <c r="LFS2" s="13"/>
      <c r="LFT2" s="13"/>
      <c r="LFU2" s="13"/>
      <c r="LFV2" s="13"/>
      <c r="LFW2" s="13"/>
      <c r="LFX2" s="13"/>
      <c r="LFY2" s="13"/>
      <c r="LFZ2" s="13"/>
      <c r="LGA2" s="13"/>
      <c r="LGB2" s="13"/>
      <c r="LGC2" s="13"/>
      <c r="LGD2" s="13"/>
      <c r="LGE2" s="13"/>
      <c r="LGF2" s="13"/>
      <c r="LGG2" s="13"/>
      <c r="LGH2" s="13"/>
      <c r="LGI2" s="13"/>
      <c r="LGJ2" s="13"/>
      <c r="LGK2" s="13"/>
      <c r="LGL2" s="13"/>
      <c r="LGM2" s="13"/>
      <c r="LGN2" s="13"/>
      <c r="LGO2" s="13"/>
      <c r="LGP2" s="13"/>
      <c r="LGQ2" s="13"/>
      <c r="LGR2" s="13"/>
      <c r="LGS2" s="13"/>
      <c r="LGT2" s="13"/>
      <c r="LGU2" s="13"/>
      <c r="LGV2" s="13"/>
      <c r="LGW2" s="13"/>
      <c r="LGX2" s="13"/>
      <c r="LGY2" s="13"/>
      <c r="LGZ2" s="13"/>
      <c r="LHA2" s="13"/>
      <c r="LHB2" s="13"/>
      <c r="LHC2" s="13"/>
      <c r="LHD2" s="13"/>
      <c r="LHE2" s="13"/>
      <c r="LHF2" s="13"/>
      <c r="LHG2" s="13"/>
      <c r="LHH2" s="13"/>
      <c r="LHI2" s="13"/>
      <c r="LHJ2" s="13"/>
      <c r="LHK2" s="13"/>
      <c r="LHL2" s="13"/>
      <c r="LHM2" s="13"/>
      <c r="LHN2" s="13"/>
      <c r="LHO2" s="13"/>
      <c r="LHP2" s="13"/>
      <c r="LHQ2" s="13"/>
      <c r="LHR2" s="13"/>
      <c r="LHS2" s="13"/>
      <c r="LHT2" s="13"/>
      <c r="LHU2" s="13"/>
      <c r="LHV2" s="13"/>
      <c r="LHW2" s="13"/>
      <c r="LHX2" s="13"/>
      <c r="LHY2" s="13"/>
      <c r="LHZ2" s="13"/>
      <c r="LIA2" s="13"/>
      <c r="LIB2" s="13"/>
      <c r="LIC2" s="13"/>
      <c r="LID2" s="13"/>
      <c r="LIE2" s="13"/>
      <c r="LIF2" s="13"/>
      <c r="LIG2" s="13"/>
      <c r="LIH2" s="13"/>
      <c r="LII2" s="13"/>
      <c r="LIJ2" s="13"/>
      <c r="LIK2" s="13"/>
      <c r="LIL2" s="13"/>
      <c r="LIM2" s="13"/>
      <c r="LIN2" s="13"/>
      <c r="LIO2" s="13"/>
      <c r="LIP2" s="13"/>
      <c r="LIQ2" s="13"/>
      <c r="LIR2" s="13"/>
      <c r="LIS2" s="13"/>
      <c r="LIT2" s="13"/>
      <c r="LIU2" s="13"/>
      <c r="LIV2" s="13"/>
      <c r="LIW2" s="13"/>
      <c r="LIX2" s="13"/>
      <c r="LIY2" s="13"/>
      <c r="LIZ2" s="13"/>
      <c r="LJA2" s="13"/>
      <c r="LJB2" s="13"/>
      <c r="LJC2" s="13"/>
      <c r="LJD2" s="13"/>
      <c r="LJE2" s="13"/>
      <c r="LJF2" s="13"/>
      <c r="LJG2" s="13"/>
      <c r="LJH2" s="13"/>
      <c r="LJI2" s="13"/>
      <c r="LJJ2" s="13"/>
      <c r="LJK2" s="13"/>
      <c r="LJL2" s="13"/>
      <c r="LJM2" s="13"/>
      <c r="LJN2" s="13"/>
      <c r="LJO2" s="13"/>
      <c r="LJP2" s="13"/>
      <c r="LJQ2" s="13"/>
      <c r="LJR2" s="13"/>
      <c r="LJS2" s="13"/>
      <c r="LJT2" s="13"/>
      <c r="LJU2" s="13"/>
      <c r="LJV2" s="13"/>
      <c r="LJW2" s="13"/>
      <c r="LJX2" s="13"/>
      <c r="LJY2" s="13"/>
      <c r="LJZ2" s="13"/>
      <c r="LKA2" s="13"/>
      <c r="LKB2" s="13"/>
      <c r="LKC2" s="13"/>
      <c r="LKD2" s="13"/>
      <c r="LKE2" s="13"/>
      <c r="LKF2" s="13"/>
      <c r="LKG2" s="13"/>
      <c r="LKH2" s="13"/>
      <c r="LKI2" s="13"/>
      <c r="LKJ2" s="13"/>
      <c r="LKK2" s="13"/>
      <c r="LKL2" s="13"/>
      <c r="LKM2" s="13"/>
      <c r="LKN2" s="13"/>
      <c r="LKO2" s="13"/>
      <c r="LKP2" s="13"/>
      <c r="LKQ2" s="13"/>
      <c r="LKR2" s="13"/>
      <c r="LKS2" s="13"/>
      <c r="LKT2" s="13"/>
      <c r="LKU2" s="13"/>
      <c r="LKV2" s="13"/>
      <c r="LKW2" s="13"/>
      <c r="LKX2" s="13"/>
      <c r="LKY2" s="13"/>
      <c r="LKZ2" s="13"/>
      <c r="LLA2" s="13"/>
      <c r="LLB2" s="13"/>
      <c r="LLC2" s="13"/>
      <c r="LLD2" s="13"/>
      <c r="LLE2" s="13"/>
      <c r="LLF2" s="13"/>
      <c r="LLG2" s="13"/>
      <c r="LLH2" s="13"/>
      <c r="LLI2" s="13"/>
      <c r="LLJ2" s="13"/>
      <c r="LLK2" s="13"/>
      <c r="LLL2" s="13"/>
      <c r="LLM2" s="13"/>
      <c r="LLN2" s="13"/>
      <c r="LLO2" s="13"/>
      <c r="LLP2" s="13"/>
      <c r="LLQ2" s="13"/>
      <c r="LLR2" s="13"/>
      <c r="LLS2" s="13"/>
      <c r="LLT2" s="13"/>
      <c r="LLU2" s="13"/>
      <c r="LLV2" s="13"/>
      <c r="LLW2" s="13"/>
      <c r="LLX2" s="13"/>
      <c r="LLY2" s="13"/>
      <c r="LLZ2" s="13"/>
      <c r="LMA2" s="13"/>
      <c r="LMB2" s="13"/>
      <c r="LMC2" s="13"/>
      <c r="LMD2" s="13"/>
      <c r="LME2" s="13"/>
      <c r="LMF2" s="13"/>
      <c r="LMG2" s="13"/>
      <c r="LMH2" s="13"/>
      <c r="LMI2" s="13"/>
      <c r="LMJ2" s="13"/>
      <c r="LMK2" s="13"/>
      <c r="LML2" s="13"/>
      <c r="LMM2" s="13"/>
      <c r="LMN2" s="13"/>
      <c r="LMO2" s="13"/>
      <c r="LMP2" s="13"/>
      <c r="LMQ2" s="13"/>
      <c r="LMR2" s="13"/>
      <c r="LMS2" s="13"/>
      <c r="LMT2" s="13"/>
      <c r="LMU2" s="13"/>
      <c r="LMV2" s="13"/>
      <c r="LMW2" s="13"/>
      <c r="LMX2" s="13"/>
      <c r="LMY2" s="13"/>
      <c r="LMZ2" s="13"/>
      <c r="LNA2" s="13"/>
      <c r="LNB2" s="13"/>
      <c r="LNC2" s="13"/>
      <c r="LND2" s="13"/>
      <c r="LNE2" s="13"/>
      <c r="LNF2" s="13"/>
      <c r="LNG2" s="13"/>
      <c r="LNH2" s="13"/>
      <c r="LNI2" s="13"/>
      <c r="LNJ2" s="13"/>
      <c r="LNK2" s="13"/>
      <c r="LNL2" s="13"/>
      <c r="LNM2" s="13"/>
      <c r="LNN2" s="13"/>
      <c r="LNO2" s="13"/>
      <c r="LNP2" s="13"/>
      <c r="LNQ2" s="13"/>
      <c r="LNR2" s="13"/>
      <c r="LNS2" s="13"/>
      <c r="LNT2" s="13"/>
      <c r="LNU2" s="13"/>
      <c r="LNV2" s="13"/>
      <c r="LNW2" s="13"/>
      <c r="LNX2" s="13"/>
      <c r="LNY2" s="13"/>
      <c r="LNZ2" s="13"/>
      <c r="LOA2" s="13"/>
      <c r="LOB2" s="13"/>
      <c r="LOC2" s="13"/>
      <c r="LOD2" s="13"/>
      <c r="LOE2" s="13"/>
      <c r="LOF2" s="13"/>
      <c r="LOG2" s="13"/>
      <c r="LOH2" s="13"/>
      <c r="LOI2" s="13"/>
      <c r="LOJ2" s="13"/>
      <c r="LOK2" s="13"/>
      <c r="LOL2" s="13"/>
      <c r="LOM2" s="13"/>
      <c r="LON2" s="13"/>
      <c r="LOO2" s="13"/>
      <c r="LOP2" s="13"/>
      <c r="LOQ2" s="13"/>
      <c r="LOR2" s="13"/>
      <c r="LOS2" s="13"/>
      <c r="LOT2" s="13"/>
      <c r="LOU2" s="13"/>
      <c r="LOV2" s="13"/>
      <c r="LOW2" s="13"/>
      <c r="LOX2" s="13"/>
      <c r="LOY2" s="13"/>
      <c r="LOZ2" s="13"/>
      <c r="LPA2" s="13"/>
      <c r="LPB2" s="13"/>
      <c r="LPC2" s="13"/>
      <c r="LPD2" s="13"/>
      <c r="LPE2" s="13"/>
      <c r="LPF2" s="13"/>
      <c r="LPG2" s="13"/>
      <c r="LPH2" s="13"/>
      <c r="LPI2" s="13"/>
      <c r="LPJ2" s="13"/>
      <c r="LPK2" s="13"/>
      <c r="LPL2" s="13"/>
      <c r="LPM2" s="13"/>
      <c r="LPN2" s="13"/>
      <c r="LPO2" s="13"/>
      <c r="LPP2" s="13"/>
      <c r="LPQ2" s="13"/>
      <c r="LPR2" s="13"/>
      <c r="LPS2" s="13"/>
      <c r="LPT2" s="13"/>
      <c r="LPU2" s="13"/>
      <c r="LPV2" s="13"/>
      <c r="LPW2" s="13"/>
      <c r="LPX2" s="13"/>
      <c r="LPY2" s="13"/>
      <c r="LPZ2" s="13"/>
      <c r="LQA2" s="13"/>
      <c r="LQB2" s="13"/>
      <c r="LQC2" s="13"/>
      <c r="LQD2" s="13"/>
      <c r="LQE2" s="13"/>
      <c r="LQF2" s="13"/>
      <c r="LQG2" s="13"/>
      <c r="LQH2" s="13"/>
      <c r="LQI2" s="13"/>
      <c r="LQJ2" s="13"/>
      <c r="LQK2" s="13"/>
      <c r="LQL2" s="13"/>
      <c r="LQM2" s="13"/>
      <c r="LQN2" s="13"/>
      <c r="LQO2" s="13"/>
      <c r="LQP2" s="13"/>
      <c r="LQQ2" s="13"/>
      <c r="LQR2" s="13"/>
      <c r="LQS2" s="13"/>
      <c r="LQT2" s="13"/>
      <c r="LQU2" s="13"/>
      <c r="LQV2" s="13"/>
      <c r="LQW2" s="13"/>
      <c r="LQX2" s="13"/>
      <c r="LQY2" s="13"/>
      <c r="LQZ2" s="13"/>
      <c r="LRA2" s="13"/>
      <c r="LRB2" s="13"/>
      <c r="LRC2" s="13"/>
      <c r="LRD2" s="13"/>
      <c r="LRE2" s="13"/>
      <c r="LRF2" s="13"/>
      <c r="LRG2" s="13"/>
      <c r="LRH2" s="13"/>
      <c r="LRI2" s="13"/>
      <c r="LRJ2" s="13"/>
      <c r="LRK2" s="13"/>
      <c r="LRL2" s="13"/>
      <c r="LRM2" s="13"/>
      <c r="LRN2" s="13"/>
      <c r="LRO2" s="13"/>
      <c r="LRP2" s="13"/>
      <c r="LRQ2" s="13"/>
      <c r="LRR2" s="13"/>
      <c r="LRS2" s="13"/>
      <c r="LRT2" s="13"/>
      <c r="LRU2" s="13"/>
      <c r="LRV2" s="13"/>
      <c r="LRW2" s="13"/>
      <c r="LRX2" s="13"/>
      <c r="LRY2" s="13"/>
      <c r="LRZ2" s="13"/>
      <c r="LSA2" s="13"/>
      <c r="LSB2" s="13"/>
      <c r="LSC2" s="13"/>
      <c r="LSD2" s="13"/>
      <c r="LSE2" s="13"/>
      <c r="LSF2" s="13"/>
      <c r="LSG2" s="13"/>
      <c r="LSH2" s="13"/>
      <c r="LSI2" s="13"/>
      <c r="LSJ2" s="13"/>
      <c r="LSK2" s="13"/>
      <c r="LSL2" s="13"/>
      <c r="LSM2" s="13"/>
      <c r="LSN2" s="13"/>
      <c r="LSO2" s="13"/>
      <c r="LSP2" s="13"/>
      <c r="LSQ2" s="13"/>
      <c r="LSR2" s="13"/>
      <c r="LSS2" s="13"/>
      <c r="LST2" s="13"/>
      <c r="LSU2" s="13"/>
      <c r="LSV2" s="13"/>
      <c r="LSW2" s="13"/>
      <c r="LSX2" s="13"/>
      <c r="LSY2" s="13"/>
      <c r="LSZ2" s="13"/>
      <c r="LTA2" s="13"/>
      <c r="LTB2" s="13"/>
      <c r="LTC2" s="13"/>
      <c r="LTD2" s="13"/>
      <c r="LTE2" s="13"/>
      <c r="LTF2" s="13"/>
      <c r="LTG2" s="13"/>
      <c r="LTH2" s="13"/>
      <c r="LTI2" s="13"/>
      <c r="LTJ2" s="13"/>
      <c r="LTK2" s="13"/>
      <c r="LTL2" s="13"/>
      <c r="LTM2" s="13"/>
      <c r="LTN2" s="13"/>
      <c r="LTO2" s="13"/>
      <c r="LTP2" s="13"/>
      <c r="LTQ2" s="13"/>
      <c r="LTR2" s="13"/>
      <c r="LTS2" s="13"/>
      <c r="LTT2" s="13"/>
      <c r="LTU2" s="13"/>
      <c r="LTV2" s="13"/>
      <c r="LTW2" s="13"/>
      <c r="LTX2" s="13"/>
      <c r="LTY2" s="13"/>
      <c r="LTZ2" s="13"/>
      <c r="LUA2" s="13"/>
      <c r="LUB2" s="13"/>
      <c r="LUC2" s="13"/>
      <c r="LUD2" s="13"/>
      <c r="LUE2" s="13"/>
      <c r="LUF2" s="13"/>
      <c r="LUG2" s="13"/>
      <c r="LUH2" s="13"/>
      <c r="LUI2" s="13"/>
      <c r="LUJ2" s="13"/>
      <c r="LUK2" s="13"/>
      <c r="LUL2" s="13"/>
      <c r="LUM2" s="13"/>
      <c r="LUN2" s="13"/>
      <c r="LUO2" s="13"/>
      <c r="LUP2" s="13"/>
      <c r="LUQ2" s="13"/>
      <c r="LUR2" s="13"/>
      <c r="LUS2" s="13"/>
      <c r="LUT2" s="13"/>
      <c r="LUU2" s="13"/>
      <c r="LUV2" s="13"/>
      <c r="LUW2" s="13"/>
      <c r="LUX2" s="13"/>
      <c r="LUY2" s="13"/>
      <c r="LUZ2" s="13"/>
      <c r="LVA2" s="13"/>
      <c r="LVB2" s="13"/>
      <c r="LVC2" s="13"/>
      <c r="LVD2" s="13"/>
      <c r="LVE2" s="13"/>
      <c r="LVF2" s="13"/>
      <c r="LVG2" s="13"/>
      <c r="LVH2" s="13"/>
      <c r="LVI2" s="13"/>
      <c r="LVJ2" s="13"/>
      <c r="LVK2" s="13"/>
      <c r="LVL2" s="13"/>
      <c r="LVM2" s="13"/>
      <c r="LVN2" s="13"/>
      <c r="LVO2" s="13"/>
      <c r="LVP2" s="13"/>
      <c r="LVQ2" s="13"/>
      <c r="LVR2" s="13"/>
      <c r="LVS2" s="13"/>
      <c r="LVT2" s="13"/>
      <c r="LVU2" s="13"/>
      <c r="LVV2" s="13"/>
      <c r="LVW2" s="13"/>
      <c r="LVX2" s="13"/>
      <c r="LVY2" s="13"/>
      <c r="LVZ2" s="13"/>
      <c r="LWA2" s="13"/>
      <c r="LWB2" s="13"/>
      <c r="LWC2" s="13"/>
      <c r="LWD2" s="13"/>
      <c r="LWE2" s="13"/>
      <c r="LWF2" s="13"/>
      <c r="LWG2" s="13"/>
      <c r="LWH2" s="13"/>
      <c r="LWI2" s="13"/>
      <c r="LWJ2" s="13"/>
      <c r="LWK2" s="13"/>
      <c r="LWL2" s="13"/>
      <c r="LWM2" s="13"/>
      <c r="LWN2" s="13"/>
      <c r="LWO2" s="13"/>
      <c r="LWP2" s="13"/>
      <c r="LWQ2" s="13"/>
      <c r="LWR2" s="13"/>
      <c r="LWS2" s="13"/>
      <c r="LWT2" s="13"/>
      <c r="LWU2" s="13"/>
      <c r="LWV2" s="13"/>
      <c r="LWW2" s="13"/>
      <c r="LWX2" s="13"/>
      <c r="LWY2" s="13"/>
      <c r="LWZ2" s="13"/>
      <c r="LXA2" s="13"/>
      <c r="LXB2" s="13"/>
      <c r="LXC2" s="13"/>
      <c r="LXD2" s="13"/>
      <c r="LXE2" s="13"/>
      <c r="LXF2" s="13"/>
      <c r="LXG2" s="13"/>
      <c r="LXH2" s="13"/>
      <c r="LXI2" s="13"/>
      <c r="LXJ2" s="13"/>
      <c r="LXK2" s="13"/>
      <c r="LXL2" s="13"/>
      <c r="LXM2" s="13"/>
      <c r="LXN2" s="13"/>
      <c r="LXO2" s="13"/>
      <c r="LXP2" s="13"/>
      <c r="LXQ2" s="13"/>
      <c r="LXR2" s="13"/>
      <c r="LXS2" s="13"/>
      <c r="LXT2" s="13"/>
      <c r="LXU2" s="13"/>
      <c r="LXV2" s="13"/>
      <c r="LXW2" s="13"/>
      <c r="LXX2" s="13"/>
      <c r="LXY2" s="13"/>
      <c r="LXZ2" s="13"/>
      <c r="LYA2" s="13"/>
      <c r="LYB2" s="13"/>
      <c r="LYC2" s="13"/>
      <c r="LYD2" s="13"/>
      <c r="LYE2" s="13"/>
      <c r="LYF2" s="13"/>
      <c r="LYG2" s="13"/>
      <c r="LYH2" s="13"/>
      <c r="LYI2" s="13"/>
      <c r="LYJ2" s="13"/>
      <c r="LYK2" s="13"/>
      <c r="LYL2" s="13"/>
      <c r="LYM2" s="13"/>
      <c r="LYN2" s="13"/>
      <c r="LYO2" s="13"/>
      <c r="LYP2" s="13"/>
      <c r="LYQ2" s="13"/>
      <c r="LYR2" s="13"/>
      <c r="LYS2" s="13"/>
      <c r="LYT2" s="13"/>
      <c r="LYU2" s="13"/>
      <c r="LYV2" s="13"/>
      <c r="LYW2" s="13"/>
      <c r="LYX2" s="13"/>
      <c r="LYY2" s="13"/>
      <c r="LYZ2" s="13"/>
      <c r="LZA2" s="13"/>
      <c r="LZB2" s="13"/>
      <c r="LZC2" s="13"/>
      <c r="LZD2" s="13"/>
      <c r="LZE2" s="13"/>
      <c r="LZF2" s="13"/>
      <c r="LZG2" s="13"/>
      <c r="LZH2" s="13"/>
      <c r="LZI2" s="13"/>
      <c r="LZJ2" s="13"/>
      <c r="LZK2" s="13"/>
      <c r="LZL2" s="13"/>
      <c r="LZM2" s="13"/>
      <c r="LZN2" s="13"/>
      <c r="LZO2" s="13"/>
      <c r="LZP2" s="13"/>
      <c r="LZQ2" s="13"/>
      <c r="LZR2" s="13"/>
      <c r="LZS2" s="13"/>
      <c r="LZT2" s="13"/>
      <c r="LZU2" s="13"/>
      <c r="LZV2" s="13"/>
      <c r="LZW2" s="13"/>
      <c r="LZX2" s="13"/>
      <c r="LZY2" s="13"/>
      <c r="LZZ2" s="13"/>
      <c r="MAA2" s="13"/>
      <c r="MAB2" s="13"/>
      <c r="MAC2" s="13"/>
      <c r="MAD2" s="13"/>
      <c r="MAE2" s="13"/>
      <c r="MAF2" s="13"/>
      <c r="MAG2" s="13"/>
      <c r="MAH2" s="13"/>
      <c r="MAI2" s="13"/>
      <c r="MAJ2" s="13"/>
      <c r="MAK2" s="13"/>
      <c r="MAL2" s="13"/>
      <c r="MAM2" s="13"/>
      <c r="MAN2" s="13"/>
      <c r="MAO2" s="13"/>
      <c r="MAP2" s="13"/>
      <c r="MAQ2" s="13"/>
      <c r="MAR2" s="13"/>
      <c r="MAS2" s="13"/>
      <c r="MAT2" s="13"/>
      <c r="MAU2" s="13"/>
      <c r="MAV2" s="13"/>
      <c r="MAW2" s="13"/>
      <c r="MAX2" s="13"/>
      <c r="MAY2" s="13"/>
      <c r="MAZ2" s="13"/>
      <c r="MBA2" s="13"/>
      <c r="MBB2" s="13"/>
      <c r="MBC2" s="13"/>
      <c r="MBD2" s="13"/>
      <c r="MBE2" s="13"/>
      <c r="MBF2" s="13"/>
      <c r="MBG2" s="13"/>
      <c r="MBH2" s="13"/>
      <c r="MBI2" s="13"/>
      <c r="MBJ2" s="13"/>
      <c r="MBK2" s="13"/>
      <c r="MBL2" s="13"/>
      <c r="MBM2" s="13"/>
      <c r="MBN2" s="13"/>
      <c r="MBO2" s="13"/>
      <c r="MBP2" s="13"/>
      <c r="MBQ2" s="13"/>
      <c r="MBR2" s="13"/>
      <c r="MBS2" s="13"/>
      <c r="MBT2" s="13"/>
      <c r="MBU2" s="13"/>
      <c r="MBV2" s="13"/>
      <c r="MBW2" s="13"/>
      <c r="MBX2" s="13"/>
      <c r="MBY2" s="13"/>
      <c r="MBZ2" s="13"/>
      <c r="MCA2" s="13"/>
      <c r="MCB2" s="13"/>
      <c r="MCC2" s="13"/>
      <c r="MCD2" s="13"/>
      <c r="MCE2" s="13"/>
      <c r="MCF2" s="13"/>
      <c r="MCG2" s="13"/>
      <c r="MCH2" s="13"/>
      <c r="MCI2" s="13"/>
      <c r="MCJ2" s="13"/>
      <c r="MCK2" s="13"/>
      <c r="MCL2" s="13"/>
      <c r="MCM2" s="13"/>
      <c r="MCN2" s="13"/>
      <c r="MCO2" s="13"/>
      <c r="MCP2" s="13"/>
      <c r="MCQ2" s="13"/>
      <c r="MCR2" s="13"/>
      <c r="MCS2" s="13"/>
      <c r="MCT2" s="13"/>
      <c r="MCU2" s="13"/>
      <c r="MCV2" s="13"/>
      <c r="MCW2" s="13"/>
      <c r="MCX2" s="13"/>
      <c r="MCY2" s="13"/>
      <c r="MCZ2" s="13"/>
      <c r="MDA2" s="13"/>
      <c r="MDB2" s="13"/>
      <c r="MDC2" s="13"/>
      <c r="MDD2" s="13"/>
      <c r="MDE2" s="13"/>
      <c r="MDF2" s="13"/>
      <c r="MDG2" s="13"/>
      <c r="MDH2" s="13"/>
      <c r="MDI2" s="13"/>
      <c r="MDJ2" s="13"/>
      <c r="MDK2" s="13"/>
      <c r="MDL2" s="13"/>
      <c r="MDM2" s="13"/>
      <c r="MDN2" s="13"/>
      <c r="MDO2" s="13"/>
      <c r="MDP2" s="13"/>
      <c r="MDQ2" s="13"/>
      <c r="MDR2" s="13"/>
      <c r="MDS2" s="13"/>
      <c r="MDT2" s="13"/>
      <c r="MDU2" s="13"/>
      <c r="MDV2" s="13"/>
      <c r="MDW2" s="13"/>
      <c r="MDX2" s="13"/>
      <c r="MDY2" s="13"/>
      <c r="MDZ2" s="13"/>
      <c r="MEA2" s="13"/>
      <c r="MEB2" s="13"/>
      <c r="MEC2" s="13"/>
      <c r="MED2" s="13"/>
      <c r="MEE2" s="13"/>
      <c r="MEF2" s="13"/>
      <c r="MEG2" s="13"/>
      <c r="MEH2" s="13"/>
      <c r="MEI2" s="13"/>
      <c r="MEJ2" s="13"/>
      <c r="MEK2" s="13"/>
      <c r="MEL2" s="13"/>
      <c r="MEM2" s="13"/>
      <c r="MEN2" s="13"/>
      <c r="MEO2" s="13"/>
      <c r="MEP2" s="13"/>
      <c r="MEQ2" s="13"/>
      <c r="MER2" s="13"/>
      <c r="MES2" s="13"/>
      <c r="MET2" s="13"/>
      <c r="MEU2" s="13"/>
      <c r="MEV2" s="13"/>
      <c r="MEW2" s="13"/>
      <c r="MEX2" s="13"/>
      <c r="MEY2" s="13"/>
      <c r="MEZ2" s="13"/>
      <c r="MFA2" s="13"/>
      <c r="MFB2" s="13"/>
      <c r="MFC2" s="13"/>
      <c r="MFD2" s="13"/>
      <c r="MFE2" s="13"/>
      <c r="MFF2" s="13"/>
      <c r="MFG2" s="13"/>
      <c r="MFH2" s="13"/>
      <c r="MFI2" s="13"/>
      <c r="MFJ2" s="13"/>
      <c r="MFK2" s="13"/>
      <c r="MFL2" s="13"/>
      <c r="MFM2" s="13"/>
      <c r="MFN2" s="13"/>
      <c r="MFO2" s="13"/>
      <c r="MFP2" s="13"/>
      <c r="MFQ2" s="13"/>
      <c r="MFR2" s="13"/>
      <c r="MFS2" s="13"/>
      <c r="MFT2" s="13"/>
      <c r="MFU2" s="13"/>
      <c r="MFV2" s="13"/>
      <c r="MFW2" s="13"/>
      <c r="MFX2" s="13"/>
      <c r="MFY2" s="13"/>
      <c r="MFZ2" s="13"/>
      <c r="MGA2" s="13"/>
      <c r="MGB2" s="13"/>
      <c r="MGC2" s="13"/>
      <c r="MGD2" s="13"/>
      <c r="MGE2" s="13"/>
      <c r="MGF2" s="13"/>
      <c r="MGG2" s="13"/>
      <c r="MGH2" s="13"/>
      <c r="MGI2" s="13"/>
      <c r="MGJ2" s="13"/>
      <c r="MGK2" s="13"/>
      <c r="MGL2" s="13"/>
      <c r="MGM2" s="13"/>
      <c r="MGN2" s="13"/>
      <c r="MGO2" s="13"/>
      <c r="MGP2" s="13"/>
      <c r="MGQ2" s="13"/>
      <c r="MGR2" s="13"/>
      <c r="MGS2" s="13"/>
      <c r="MGT2" s="13"/>
      <c r="MGU2" s="13"/>
      <c r="MGV2" s="13"/>
      <c r="MGW2" s="13"/>
      <c r="MGX2" s="13"/>
      <c r="MGY2" s="13"/>
      <c r="MGZ2" s="13"/>
      <c r="MHA2" s="13"/>
      <c r="MHB2" s="13"/>
      <c r="MHC2" s="13"/>
      <c r="MHD2" s="13"/>
      <c r="MHE2" s="13"/>
      <c r="MHF2" s="13"/>
      <c r="MHG2" s="13"/>
      <c r="MHH2" s="13"/>
      <c r="MHI2" s="13"/>
      <c r="MHJ2" s="13"/>
      <c r="MHK2" s="13"/>
      <c r="MHL2" s="13"/>
      <c r="MHM2" s="13"/>
      <c r="MHN2" s="13"/>
      <c r="MHO2" s="13"/>
      <c r="MHP2" s="13"/>
      <c r="MHQ2" s="13"/>
      <c r="MHR2" s="13"/>
      <c r="MHS2" s="13"/>
      <c r="MHT2" s="13"/>
      <c r="MHU2" s="13"/>
      <c r="MHV2" s="13"/>
      <c r="MHW2" s="13"/>
      <c r="MHX2" s="13"/>
      <c r="MHY2" s="13"/>
      <c r="MHZ2" s="13"/>
      <c r="MIA2" s="13"/>
      <c r="MIB2" s="13"/>
      <c r="MIC2" s="13"/>
      <c r="MID2" s="13"/>
      <c r="MIE2" s="13"/>
      <c r="MIF2" s="13"/>
      <c r="MIG2" s="13"/>
      <c r="MIH2" s="13"/>
      <c r="MII2" s="13"/>
      <c r="MIJ2" s="13"/>
      <c r="MIK2" s="13"/>
      <c r="MIL2" s="13"/>
      <c r="MIM2" s="13"/>
      <c r="MIN2" s="13"/>
      <c r="MIO2" s="13"/>
      <c r="MIP2" s="13"/>
      <c r="MIQ2" s="13"/>
      <c r="MIR2" s="13"/>
      <c r="MIS2" s="13"/>
      <c r="MIT2" s="13"/>
      <c r="MIU2" s="13"/>
      <c r="MIV2" s="13"/>
      <c r="MIW2" s="13"/>
      <c r="MIX2" s="13"/>
      <c r="MIY2" s="13"/>
      <c r="MIZ2" s="13"/>
      <c r="MJA2" s="13"/>
      <c r="MJB2" s="13"/>
      <c r="MJC2" s="13"/>
      <c r="MJD2" s="13"/>
      <c r="MJE2" s="13"/>
      <c r="MJF2" s="13"/>
      <c r="MJG2" s="13"/>
      <c r="MJH2" s="13"/>
      <c r="MJI2" s="13"/>
      <c r="MJJ2" s="13"/>
      <c r="MJK2" s="13"/>
      <c r="MJL2" s="13"/>
      <c r="MJM2" s="13"/>
      <c r="MJN2" s="13"/>
      <c r="MJO2" s="13"/>
      <c r="MJP2" s="13"/>
      <c r="MJQ2" s="13"/>
      <c r="MJR2" s="13"/>
      <c r="MJS2" s="13"/>
      <c r="MJT2" s="13"/>
      <c r="MJU2" s="13"/>
      <c r="MJV2" s="13"/>
      <c r="MJW2" s="13"/>
      <c r="MJX2" s="13"/>
      <c r="MJY2" s="13"/>
      <c r="MJZ2" s="13"/>
      <c r="MKA2" s="13"/>
      <c r="MKB2" s="13"/>
      <c r="MKC2" s="13"/>
      <c r="MKD2" s="13"/>
      <c r="MKE2" s="13"/>
      <c r="MKF2" s="13"/>
      <c r="MKG2" s="13"/>
      <c r="MKH2" s="13"/>
      <c r="MKI2" s="13"/>
      <c r="MKJ2" s="13"/>
      <c r="MKK2" s="13"/>
      <c r="MKL2" s="13"/>
      <c r="MKM2" s="13"/>
      <c r="MKN2" s="13"/>
      <c r="MKO2" s="13"/>
      <c r="MKP2" s="13"/>
      <c r="MKQ2" s="13"/>
      <c r="MKR2" s="13"/>
      <c r="MKS2" s="13"/>
      <c r="MKT2" s="13"/>
      <c r="MKU2" s="13"/>
      <c r="MKV2" s="13"/>
      <c r="MKW2" s="13"/>
      <c r="MKX2" s="13"/>
      <c r="MKY2" s="13"/>
      <c r="MKZ2" s="13"/>
      <c r="MLA2" s="13"/>
      <c r="MLB2" s="13"/>
      <c r="MLC2" s="13"/>
      <c r="MLD2" s="13"/>
      <c r="MLE2" s="13"/>
      <c r="MLF2" s="13"/>
      <c r="MLG2" s="13"/>
      <c r="MLH2" s="13"/>
      <c r="MLI2" s="13"/>
      <c r="MLJ2" s="13"/>
      <c r="MLK2" s="13"/>
      <c r="MLL2" s="13"/>
      <c r="MLM2" s="13"/>
      <c r="MLN2" s="13"/>
      <c r="MLO2" s="13"/>
      <c r="MLP2" s="13"/>
      <c r="MLQ2" s="13"/>
      <c r="MLR2" s="13"/>
      <c r="MLS2" s="13"/>
      <c r="MLT2" s="13"/>
      <c r="MLU2" s="13"/>
      <c r="MLV2" s="13"/>
      <c r="MLW2" s="13"/>
      <c r="MLX2" s="13"/>
      <c r="MLY2" s="13"/>
      <c r="MLZ2" s="13"/>
      <c r="MMA2" s="13"/>
      <c r="MMB2" s="13"/>
      <c r="MMC2" s="13"/>
      <c r="MMD2" s="13"/>
      <c r="MME2" s="13"/>
      <c r="MMF2" s="13"/>
      <c r="MMG2" s="13"/>
      <c r="MMH2" s="13"/>
      <c r="MMI2" s="13"/>
      <c r="MMJ2" s="13"/>
      <c r="MMK2" s="13"/>
      <c r="MML2" s="13"/>
      <c r="MMM2" s="13"/>
      <c r="MMN2" s="13"/>
      <c r="MMO2" s="13"/>
      <c r="MMP2" s="13"/>
      <c r="MMQ2" s="13"/>
      <c r="MMR2" s="13"/>
      <c r="MMS2" s="13"/>
      <c r="MMT2" s="13"/>
      <c r="MMU2" s="13"/>
      <c r="MMV2" s="13"/>
      <c r="MMW2" s="13"/>
      <c r="MMX2" s="13"/>
      <c r="MMY2" s="13"/>
      <c r="MMZ2" s="13"/>
      <c r="MNA2" s="13"/>
      <c r="MNB2" s="13"/>
      <c r="MNC2" s="13"/>
      <c r="MND2" s="13"/>
      <c r="MNE2" s="13"/>
      <c r="MNF2" s="13"/>
      <c r="MNG2" s="13"/>
      <c r="MNH2" s="13"/>
      <c r="MNI2" s="13"/>
      <c r="MNJ2" s="13"/>
      <c r="MNK2" s="13"/>
      <c r="MNL2" s="13"/>
      <c r="MNM2" s="13"/>
      <c r="MNN2" s="13"/>
      <c r="MNO2" s="13"/>
      <c r="MNP2" s="13"/>
      <c r="MNQ2" s="13"/>
      <c r="MNR2" s="13"/>
      <c r="MNS2" s="13"/>
      <c r="MNT2" s="13"/>
      <c r="MNU2" s="13"/>
      <c r="MNV2" s="13"/>
      <c r="MNW2" s="13"/>
      <c r="MNX2" s="13"/>
      <c r="MNY2" s="13"/>
      <c r="MNZ2" s="13"/>
      <c r="MOA2" s="13"/>
      <c r="MOB2" s="13"/>
      <c r="MOC2" s="13"/>
      <c r="MOD2" s="13"/>
      <c r="MOE2" s="13"/>
      <c r="MOF2" s="13"/>
      <c r="MOG2" s="13"/>
      <c r="MOH2" s="13"/>
      <c r="MOI2" s="13"/>
      <c r="MOJ2" s="13"/>
      <c r="MOK2" s="13"/>
      <c r="MOL2" s="13"/>
      <c r="MOM2" s="13"/>
      <c r="MON2" s="13"/>
      <c r="MOO2" s="13"/>
      <c r="MOP2" s="13"/>
      <c r="MOQ2" s="13"/>
      <c r="MOR2" s="13"/>
      <c r="MOS2" s="13"/>
      <c r="MOT2" s="13"/>
      <c r="MOU2" s="13"/>
      <c r="MOV2" s="13"/>
      <c r="MOW2" s="13"/>
      <c r="MOX2" s="13"/>
      <c r="MOY2" s="13"/>
      <c r="MOZ2" s="13"/>
      <c r="MPA2" s="13"/>
      <c r="MPB2" s="13"/>
      <c r="MPC2" s="13"/>
      <c r="MPD2" s="13"/>
      <c r="MPE2" s="13"/>
      <c r="MPF2" s="13"/>
      <c r="MPG2" s="13"/>
      <c r="MPH2" s="13"/>
      <c r="MPI2" s="13"/>
      <c r="MPJ2" s="13"/>
      <c r="MPK2" s="13"/>
      <c r="MPL2" s="13"/>
      <c r="MPM2" s="13"/>
      <c r="MPN2" s="13"/>
      <c r="MPO2" s="13"/>
      <c r="MPP2" s="13"/>
      <c r="MPQ2" s="13"/>
      <c r="MPR2" s="13"/>
      <c r="MPS2" s="13"/>
      <c r="MPT2" s="13"/>
      <c r="MPU2" s="13"/>
      <c r="MPV2" s="13"/>
      <c r="MPW2" s="13"/>
      <c r="MPX2" s="13"/>
      <c r="MPY2" s="13"/>
      <c r="MPZ2" s="13"/>
      <c r="MQA2" s="13"/>
      <c r="MQB2" s="13"/>
      <c r="MQC2" s="13"/>
      <c r="MQD2" s="13"/>
      <c r="MQE2" s="13"/>
      <c r="MQF2" s="13"/>
      <c r="MQG2" s="13"/>
      <c r="MQH2" s="13"/>
      <c r="MQI2" s="13"/>
      <c r="MQJ2" s="13"/>
      <c r="MQK2" s="13"/>
      <c r="MQL2" s="13"/>
      <c r="MQM2" s="13"/>
      <c r="MQN2" s="13"/>
      <c r="MQO2" s="13"/>
      <c r="MQP2" s="13"/>
      <c r="MQQ2" s="13"/>
      <c r="MQR2" s="13"/>
      <c r="MQS2" s="13"/>
      <c r="MQT2" s="13"/>
      <c r="MQU2" s="13"/>
      <c r="MQV2" s="13"/>
      <c r="MQW2" s="13"/>
      <c r="MQX2" s="13"/>
      <c r="MQY2" s="13"/>
      <c r="MQZ2" s="13"/>
      <c r="MRA2" s="13"/>
      <c r="MRB2" s="13"/>
      <c r="MRC2" s="13"/>
      <c r="MRD2" s="13"/>
      <c r="MRE2" s="13"/>
      <c r="MRF2" s="13"/>
      <c r="MRG2" s="13"/>
      <c r="MRH2" s="13"/>
      <c r="MRI2" s="13"/>
      <c r="MRJ2" s="13"/>
      <c r="MRK2" s="13"/>
      <c r="MRL2" s="13"/>
      <c r="MRM2" s="13"/>
      <c r="MRN2" s="13"/>
      <c r="MRO2" s="13"/>
      <c r="MRP2" s="13"/>
      <c r="MRQ2" s="13"/>
      <c r="MRR2" s="13"/>
      <c r="MRS2" s="13"/>
      <c r="MRT2" s="13"/>
      <c r="MRU2" s="13"/>
      <c r="MRV2" s="13"/>
      <c r="MRW2" s="13"/>
      <c r="MRX2" s="13"/>
      <c r="MRY2" s="13"/>
      <c r="MRZ2" s="13"/>
      <c r="MSA2" s="13"/>
      <c r="MSB2" s="13"/>
      <c r="MSC2" s="13"/>
      <c r="MSD2" s="13"/>
      <c r="MSE2" s="13"/>
      <c r="MSF2" s="13"/>
      <c r="MSG2" s="13"/>
      <c r="MSH2" s="13"/>
      <c r="MSI2" s="13"/>
      <c r="MSJ2" s="13"/>
      <c r="MSK2" s="13"/>
      <c r="MSL2" s="13"/>
      <c r="MSM2" s="13"/>
      <c r="MSN2" s="13"/>
      <c r="MSO2" s="13"/>
      <c r="MSP2" s="13"/>
      <c r="MSQ2" s="13"/>
      <c r="MSR2" s="13"/>
      <c r="MSS2" s="13"/>
      <c r="MST2" s="13"/>
      <c r="MSU2" s="13"/>
      <c r="MSV2" s="13"/>
      <c r="MSW2" s="13"/>
      <c r="MSX2" s="13"/>
      <c r="MSY2" s="13"/>
      <c r="MSZ2" s="13"/>
      <c r="MTA2" s="13"/>
      <c r="MTB2" s="13"/>
      <c r="MTC2" s="13"/>
      <c r="MTD2" s="13"/>
      <c r="MTE2" s="13"/>
      <c r="MTF2" s="13"/>
      <c r="MTG2" s="13"/>
      <c r="MTH2" s="13"/>
      <c r="MTI2" s="13"/>
      <c r="MTJ2" s="13"/>
      <c r="MTK2" s="13"/>
      <c r="MTL2" s="13"/>
      <c r="MTM2" s="13"/>
      <c r="MTN2" s="13"/>
      <c r="MTO2" s="13"/>
      <c r="MTP2" s="13"/>
      <c r="MTQ2" s="13"/>
      <c r="MTR2" s="13"/>
      <c r="MTS2" s="13"/>
      <c r="MTT2" s="13"/>
      <c r="MTU2" s="13"/>
      <c r="MTV2" s="13"/>
      <c r="MTW2" s="13"/>
      <c r="MTX2" s="13"/>
      <c r="MTY2" s="13"/>
      <c r="MTZ2" s="13"/>
      <c r="MUA2" s="13"/>
      <c r="MUB2" s="13"/>
      <c r="MUC2" s="13"/>
      <c r="MUD2" s="13"/>
      <c r="MUE2" s="13"/>
      <c r="MUF2" s="13"/>
      <c r="MUG2" s="13"/>
      <c r="MUH2" s="13"/>
      <c r="MUI2" s="13"/>
      <c r="MUJ2" s="13"/>
      <c r="MUK2" s="13"/>
      <c r="MUL2" s="13"/>
      <c r="MUM2" s="13"/>
      <c r="MUN2" s="13"/>
      <c r="MUO2" s="13"/>
      <c r="MUP2" s="13"/>
      <c r="MUQ2" s="13"/>
      <c r="MUR2" s="13"/>
      <c r="MUS2" s="13"/>
      <c r="MUT2" s="13"/>
      <c r="MUU2" s="13"/>
      <c r="MUV2" s="13"/>
      <c r="MUW2" s="13"/>
      <c r="MUX2" s="13"/>
      <c r="MUY2" s="13"/>
      <c r="MUZ2" s="13"/>
      <c r="MVA2" s="13"/>
      <c r="MVB2" s="13"/>
      <c r="MVC2" s="13"/>
      <c r="MVD2" s="13"/>
      <c r="MVE2" s="13"/>
      <c r="MVF2" s="13"/>
      <c r="MVG2" s="13"/>
      <c r="MVH2" s="13"/>
      <c r="MVI2" s="13"/>
      <c r="MVJ2" s="13"/>
      <c r="MVK2" s="13"/>
      <c r="MVL2" s="13"/>
      <c r="MVM2" s="13"/>
      <c r="MVN2" s="13"/>
      <c r="MVO2" s="13"/>
      <c r="MVP2" s="13"/>
      <c r="MVQ2" s="13"/>
      <c r="MVR2" s="13"/>
      <c r="MVS2" s="13"/>
      <c r="MVT2" s="13"/>
      <c r="MVU2" s="13"/>
      <c r="MVV2" s="13"/>
      <c r="MVW2" s="13"/>
      <c r="MVX2" s="13"/>
      <c r="MVY2" s="13"/>
      <c r="MVZ2" s="13"/>
      <c r="MWA2" s="13"/>
      <c r="MWB2" s="13"/>
      <c r="MWC2" s="13"/>
      <c r="MWD2" s="13"/>
      <c r="MWE2" s="13"/>
      <c r="MWF2" s="13"/>
      <c r="MWG2" s="13"/>
      <c r="MWH2" s="13"/>
      <c r="MWI2" s="13"/>
      <c r="MWJ2" s="13"/>
      <c r="MWK2" s="13"/>
      <c r="MWL2" s="13"/>
      <c r="MWM2" s="13"/>
      <c r="MWN2" s="13"/>
      <c r="MWO2" s="13"/>
      <c r="MWP2" s="13"/>
      <c r="MWQ2" s="13"/>
      <c r="MWR2" s="13"/>
      <c r="MWS2" s="13"/>
      <c r="MWT2" s="13"/>
      <c r="MWU2" s="13"/>
      <c r="MWV2" s="13"/>
      <c r="MWW2" s="13"/>
      <c r="MWX2" s="13"/>
      <c r="MWY2" s="13"/>
      <c r="MWZ2" s="13"/>
      <c r="MXA2" s="13"/>
      <c r="MXB2" s="13"/>
      <c r="MXC2" s="13"/>
      <c r="MXD2" s="13"/>
      <c r="MXE2" s="13"/>
      <c r="MXF2" s="13"/>
      <c r="MXG2" s="13"/>
      <c r="MXH2" s="13"/>
      <c r="MXI2" s="13"/>
      <c r="MXJ2" s="13"/>
      <c r="MXK2" s="13"/>
      <c r="MXL2" s="13"/>
      <c r="MXM2" s="13"/>
      <c r="MXN2" s="13"/>
      <c r="MXO2" s="13"/>
      <c r="MXP2" s="13"/>
      <c r="MXQ2" s="13"/>
      <c r="MXR2" s="13"/>
      <c r="MXS2" s="13"/>
      <c r="MXT2" s="13"/>
      <c r="MXU2" s="13"/>
      <c r="MXV2" s="13"/>
      <c r="MXW2" s="13"/>
      <c r="MXX2" s="13"/>
      <c r="MXY2" s="13"/>
      <c r="MXZ2" s="13"/>
      <c r="MYA2" s="13"/>
      <c r="MYB2" s="13"/>
      <c r="MYC2" s="13"/>
      <c r="MYD2" s="13"/>
      <c r="MYE2" s="13"/>
      <c r="MYF2" s="13"/>
      <c r="MYG2" s="13"/>
      <c r="MYH2" s="13"/>
      <c r="MYI2" s="13"/>
      <c r="MYJ2" s="13"/>
      <c r="MYK2" s="13"/>
      <c r="MYL2" s="13"/>
      <c r="MYM2" s="13"/>
      <c r="MYN2" s="13"/>
      <c r="MYO2" s="13"/>
      <c r="MYP2" s="13"/>
      <c r="MYQ2" s="13"/>
      <c r="MYR2" s="13"/>
      <c r="MYS2" s="13"/>
      <c r="MYT2" s="13"/>
      <c r="MYU2" s="13"/>
      <c r="MYV2" s="13"/>
      <c r="MYW2" s="13"/>
      <c r="MYX2" s="13"/>
      <c r="MYY2" s="13"/>
      <c r="MYZ2" s="13"/>
      <c r="MZA2" s="13"/>
      <c r="MZB2" s="13"/>
      <c r="MZC2" s="13"/>
      <c r="MZD2" s="13"/>
      <c r="MZE2" s="13"/>
      <c r="MZF2" s="13"/>
      <c r="MZG2" s="13"/>
      <c r="MZH2" s="13"/>
      <c r="MZI2" s="13"/>
      <c r="MZJ2" s="13"/>
      <c r="MZK2" s="13"/>
      <c r="MZL2" s="13"/>
      <c r="MZM2" s="13"/>
      <c r="MZN2" s="13"/>
      <c r="MZO2" s="13"/>
      <c r="MZP2" s="13"/>
      <c r="MZQ2" s="13"/>
      <c r="MZR2" s="13"/>
      <c r="MZS2" s="13"/>
      <c r="MZT2" s="13"/>
      <c r="MZU2" s="13"/>
      <c r="MZV2" s="13"/>
      <c r="MZW2" s="13"/>
      <c r="MZX2" s="13"/>
      <c r="MZY2" s="13"/>
      <c r="MZZ2" s="13"/>
      <c r="NAA2" s="13"/>
      <c r="NAB2" s="13"/>
      <c r="NAC2" s="13"/>
      <c r="NAD2" s="13"/>
      <c r="NAE2" s="13"/>
      <c r="NAF2" s="13"/>
      <c r="NAG2" s="13"/>
      <c r="NAH2" s="13"/>
      <c r="NAI2" s="13"/>
      <c r="NAJ2" s="13"/>
      <c r="NAK2" s="13"/>
      <c r="NAL2" s="13"/>
      <c r="NAM2" s="13"/>
      <c r="NAN2" s="13"/>
      <c r="NAO2" s="13"/>
      <c r="NAP2" s="13"/>
      <c r="NAQ2" s="13"/>
      <c r="NAR2" s="13"/>
      <c r="NAS2" s="13"/>
      <c r="NAT2" s="13"/>
      <c r="NAU2" s="13"/>
      <c r="NAV2" s="13"/>
      <c r="NAW2" s="13"/>
      <c r="NAX2" s="13"/>
      <c r="NAY2" s="13"/>
      <c r="NAZ2" s="13"/>
      <c r="NBA2" s="13"/>
      <c r="NBB2" s="13"/>
      <c r="NBC2" s="13"/>
      <c r="NBD2" s="13"/>
      <c r="NBE2" s="13"/>
      <c r="NBF2" s="13"/>
      <c r="NBG2" s="13"/>
      <c r="NBH2" s="13"/>
      <c r="NBI2" s="13"/>
      <c r="NBJ2" s="13"/>
      <c r="NBK2" s="13"/>
      <c r="NBL2" s="13"/>
      <c r="NBM2" s="13"/>
      <c r="NBN2" s="13"/>
      <c r="NBO2" s="13"/>
      <c r="NBP2" s="13"/>
      <c r="NBQ2" s="13"/>
      <c r="NBR2" s="13"/>
      <c r="NBS2" s="13"/>
      <c r="NBT2" s="13"/>
      <c r="NBU2" s="13"/>
      <c r="NBV2" s="13"/>
      <c r="NBW2" s="13"/>
      <c r="NBX2" s="13"/>
      <c r="NBY2" s="13"/>
      <c r="NBZ2" s="13"/>
      <c r="NCA2" s="13"/>
      <c r="NCB2" s="13"/>
      <c r="NCC2" s="13"/>
      <c r="NCD2" s="13"/>
      <c r="NCE2" s="13"/>
      <c r="NCF2" s="13"/>
      <c r="NCG2" s="13"/>
      <c r="NCH2" s="13"/>
      <c r="NCI2" s="13"/>
      <c r="NCJ2" s="13"/>
      <c r="NCK2" s="13"/>
      <c r="NCL2" s="13"/>
      <c r="NCM2" s="13"/>
      <c r="NCN2" s="13"/>
      <c r="NCO2" s="13"/>
      <c r="NCP2" s="13"/>
      <c r="NCQ2" s="13"/>
      <c r="NCR2" s="13"/>
      <c r="NCS2" s="13"/>
      <c r="NCT2" s="13"/>
      <c r="NCU2" s="13"/>
      <c r="NCV2" s="13"/>
      <c r="NCW2" s="13"/>
      <c r="NCX2" s="13"/>
      <c r="NCY2" s="13"/>
      <c r="NCZ2" s="13"/>
      <c r="NDA2" s="13"/>
      <c r="NDB2" s="13"/>
      <c r="NDC2" s="13"/>
      <c r="NDD2" s="13"/>
      <c r="NDE2" s="13"/>
      <c r="NDF2" s="13"/>
      <c r="NDG2" s="13"/>
      <c r="NDH2" s="13"/>
      <c r="NDI2" s="13"/>
      <c r="NDJ2" s="13"/>
      <c r="NDK2" s="13"/>
      <c r="NDL2" s="13"/>
      <c r="NDM2" s="13"/>
      <c r="NDN2" s="13"/>
      <c r="NDO2" s="13"/>
      <c r="NDP2" s="13"/>
      <c r="NDQ2" s="13"/>
      <c r="NDR2" s="13"/>
      <c r="NDS2" s="13"/>
      <c r="NDT2" s="13"/>
      <c r="NDU2" s="13"/>
      <c r="NDV2" s="13"/>
      <c r="NDW2" s="13"/>
      <c r="NDX2" s="13"/>
      <c r="NDY2" s="13"/>
      <c r="NDZ2" s="13"/>
      <c r="NEA2" s="13"/>
      <c r="NEB2" s="13"/>
      <c r="NEC2" s="13"/>
      <c r="NED2" s="13"/>
      <c r="NEE2" s="13"/>
      <c r="NEF2" s="13"/>
      <c r="NEG2" s="13"/>
      <c r="NEH2" s="13"/>
      <c r="NEI2" s="13"/>
      <c r="NEJ2" s="13"/>
      <c r="NEK2" s="13"/>
      <c r="NEL2" s="13"/>
      <c r="NEM2" s="13"/>
      <c r="NEN2" s="13"/>
      <c r="NEO2" s="13"/>
      <c r="NEP2" s="13"/>
      <c r="NEQ2" s="13"/>
      <c r="NER2" s="13"/>
      <c r="NES2" s="13"/>
      <c r="NET2" s="13"/>
      <c r="NEU2" s="13"/>
      <c r="NEV2" s="13"/>
      <c r="NEW2" s="13"/>
      <c r="NEX2" s="13"/>
      <c r="NEY2" s="13"/>
      <c r="NEZ2" s="13"/>
      <c r="NFA2" s="13"/>
      <c r="NFB2" s="13"/>
      <c r="NFC2" s="13"/>
      <c r="NFD2" s="13"/>
      <c r="NFE2" s="13"/>
      <c r="NFF2" s="13"/>
      <c r="NFG2" s="13"/>
      <c r="NFH2" s="13"/>
      <c r="NFI2" s="13"/>
      <c r="NFJ2" s="13"/>
      <c r="NFK2" s="13"/>
      <c r="NFL2" s="13"/>
      <c r="NFM2" s="13"/>
      <c r="NFN2" s="13"/>
      <c r="NFO2" s="13"/>
      <c r="NFP2" s="13"/>
      <c r="NFQ2" s="13"/>
      <c r="NFR2" s="13"/>
      <c r="NFS2" s="13"/>
      <c r="NFT2" s="13"/>
      <c r="NFU2" s="13"/>
      <c r="NFV2" s="13"/>
      <c r="NFW2" s="13"/>
      <c r="NFX2" s="13"/>
      <c r="NFY2" s="13"/>
      <c r="NFZ2" s="13"/>
      <c r="NGA2" s="13"/>
      <c r="NGB2" s="13"/>
      <c r="NGC2" s="13"/>
      <c r="NGD2" s="13"/>
      <c r="NGE2" s="13"/>
      <c r="NGF2" s="13"/>
      <c r="NGG2" s="13"/>
      <c r="NGH2" s="13"/>
      <c r="NGI2" s="13"/>
      <c r="NGJ2" s="13"/>
      <c r="NGK2" s="13"/>
      <c r="NGL2" s="13"/>
      <c r="NGM2" s="13"/>
      <c r="NGN2" s="13"/>
      <c r="NGO2" s="13"/>
      <c r="NGP2" s="13"/>
      <c r="NGQ2" s="13"/>
      <c r="NGR2" s="13"/>
      <c r="NGS2" s="13"/>
      <c r="NGT2" s="13"/>
      <c r="NGU2" s="13"/>
      <c r="NGV2" s="13"/>
      <c r="NGW2" s="13"/>
      <c r="NGX2" s="13"/>
      <c r="NGY2" s="13"/>
      <c r="NGZ2" s="13"/>
      <c r="NHA2" s="13"/>
      <c r="NHB2" s="13"/>
      <c r="NHC2" s="13"/>
      <c r="NHD2" s="13"/>
      <c r="NHE2" s="13"/>
      <c r="NHF2" s="13"/>
      <c r="NHG2" s="13"/>
      <c r="NHH2" s="13"/>
      <c r="NHI2" s="13"/>
      <c r="NHJ2" s="13"/>
      <c r="NHK2" s="13"/>
      <c r="NHL2" s="13"/>
      <c r="NHM2" s="13"/>
      <c r="NHN2" s="13"/>
      <c r="NHO2" s="13"/>
      <c r="NHP2" s="13"/>
      <c r="NHQ2" s="13"/>
      <c r="NHR2" s="13"/>
      <c r="NHS2" s="13"/>
      <c r="NHT2" s="13"/>
      <c r="NHU2" s="13"/>
      <c r="NHV2" s="13"/>
      <c r="NHW2" s="13"/>
      <c r="NHX2" s="13"/>
      <c r="NHY2" s="13"/>
      <c r="NHZ2" s="13"/>
      <c r="NIA2" s="13"/>
      <c r="NIB2" s="13"/>
      <c r="NIC2" s="13"/>
      <c r="NID2" s="13"/>
      <c r="NIE2" s="13"/>
      <c r="NIF2" s="13"/>
      <c r="NIG2" s="13"/>
      <c r="NIH2" s="13"/>
      <c r="NII2" s="13"/>
      <c r="NIJ2" s="13"/>
      <c r="NIK2" s="13"/>
      <c r="NIL2" s="13"/>
      <c r="NIM2" s="13"/>
      <c r="NIN2" s="13"/>
      <c r="NIO2" s="13"/>
      <c r="NIP2" s="13"/>
      <c r="NIQ2" s="13"/>
      <c r="NIR2" s="13"/>
      <c r="NIS2" s="13"/>
      <c r="NIT2" s="13"/>
      <c r="NIU2" s="13"/>
      <c r="NIV2" s="13"/>
      <c r="NIW2" s="13"/>
      <c r="NIX2" s="13"/>
      <c r="NIY2" s="13"/>
      <c r="NIZ2" s="13"/>
      <c r="NJA2" s="13"/>
      <c r="NJB2" s="13"/>
      <c r="NJC2" s="13"/>
      <c r="NJD2" s="13"/>
      <c r="NJE2" s="13"/>
      <c r="NJF2" s="13"/>
      <c r="NJG2" s="13"/>
      <c r="NJH2" s="13"/>
      <c r="NJI2" s="13"/>
      <c r="NJJ2" s="13"/>
      <c r="NJK2" s="13"/>
      <c r="NJL2" s="13"/>
      <c r="NJM2" s="13"/>
      <c r="NJN2" s="13"/>
      <c r="NJO2" s="13"/>
      <c r="NJP2" s="13"/>
      <c r="NJQ2" s="13"/>
      <c r="NJR2" s="13"/>
      <c r="NJS2" s="13"/>
      <c r="NJT2" s="13"/>
      <c r="NJU2" s="13"/>
      <c r="NJV2" s="13"/>
      <c r="NJW2" s="13"/>
      <c r="NJX2" s="13"/>
      <c r="NJY2" s="13"/>
      <c r="NJZ2" s="13"/>
      <c r="NKA2" s="13"/>
      <c r="NKB2" s="13"/>
      <c r="NKC2" s="13"/>
      <c r="NKD2" s="13"/>
      <c r="NKE2" s="13"/>
      <c r="NKF2" s="13"/>
      <c r="NKG2" s="13"/>
      <c r="NKH2" s="13"/>
      <c r="NKI2" s="13"/>
      <c r="NKJ2" s="13"/>
      <c r="NKK2" s="13"/>
      <c r="NKL2" s="13"/>
      <c r="NKM2" s="13"/>
      <c r="NKN2" s="13"/>
      <c r="NKO2" s="13"/>
      <c r="NKP2" s="13"/>
      <c r="NKQ2" s="13"/>
      <c r="NKR2" s="13"/>
      <c r="NKS2" s="13"/>
      <c r="NKT2" s="13"/>
      <c r="NKU2" s="13"/>
      <c r="NKV2" s="13"/>
      <c r="NKW2" s="13"/>
      <c r="NKX2" s="13"/>
      <c r="NKY2" s="13"/>
      <c r="NKZ2" s="13"/>
      <c r="NLA2" s="13"/>
      <c r="NLB2" s="13"/>
      <c r="NLC2" s="13"/>
      <c r="NLD2" s="13"/>
      <c r="NLE2" s="13"/>
      <c r="NLF2" s="13"/>
      <c r="NLG2" s="13"/>
      <c r="NLH2" s="13"/>
      <c r="NLI2" s="13"/>
      <c r="NLJ2" s="13"/>
      <c r="NLK2" s="13"/>
      <c r="NLL2" s="13"/>
      <c r="NLM2" s="13"/>
      <c r="NLN2" s="13"/>
      <c r="NLO2" s="13"/>
      <c r="NLP2" s="13"/>
      <c r="NLQ2" s="13"/>
      <c r="NLR2" s="13"/>
      <c r="NLS2" s="13"/>
      <c r="NLT2" s="13"/>
      <c r="NLU2" s="13"/>
      <c r="NLV2" s="13"/>
      <c r="NLW2" s="13"/>
      <c r="NLX2" s="13"/>
      <c r="NLY2" s="13"/>
      <c r="NLZ2" s="13"/>
      <c r="NMA2" s="13"/>
      <c r="NMB2" s="13"/>
      <c r="NMC2" s="13"/>
      <c r="NMD2" s="13"/>
      <c r="NME2" s="13"/>
      <c r="NMF2" s="13"/>
      <c r="NMG2" s="13"/>
      <c r="NMH2" s="13"/>
      <c r="NMI2" s="13"/>
      <c r="NMJ2" s="13"/>
      <c r="NMK2" s="13"/>
      <c r="NML2" s="13"/>
      <c r="NMM2" s="13"/>
      <c r="NMN2" s="13"/>
      <c r="NMO2" s="13"/>
      <c r="NMP2" s="13"/>
      <c r="NMQ2" s="13"/>
      <c r="NMR2" s="13"/>
      <c r="NMS2" s="13"/>
      <c r="NMT2" s="13"/>
      <c r="NMU2" s="13"/>
      <c r="NMV2" s="13"/>
      <c r="NMW2" s="13"/>
      <c r="NMX2" s="13"/>
      <c r="NMY2" s="13"/>
      <c r="NMZ2" s="13"/>
      <c r="NNA2" s="13"/>
      <c r="NNB2" s="13"/>
      <c r="NNC2" s="13"/>
      <c r="NND2" s="13"/>
      <c r="NNE2" s="13"/>
      <c r="NNF2" s="13"/>
      <c r="NNG2" s="13"/>
      <c r="NNH2" s="13"/>
      <c r="NNI2" s="13"/>
      <c r="NNJ2" s="13"/>
      <c r="NNK2" s="13"/>
      <c r="NNL2" s="13"/>
      <c r="NNM2" s="13"/>
      <c r="NNN2" s="13"/>
      <c r="NNO2" s="13"/>
      <c r="NNP2" s="13"/>
      <c r="NNQ2" s="13"/>
      <c r="NNR2" s="13"/>
      <c r="NNS2" s="13"/>
      <c r="NNT2" s="13"/>
      <c r="NNU2" s="13"/>
      <c r="NNV2" s="13"/>
      <c r="NNW2" s="13"/>
      <c r="NNX2" s="13"/>
      <c r="NNY2" s="13"/>
      <c r="NNZ2" s="13"/>
      <c r="NOA2" s="13"/>
      <c r="NOB2" s="13"/>
      <c r="NOC2" s="13"/>
      <c r="NOD2" s="13"/>
      <c r="NOE2" s="13"/>
      <c r="NOF2" s="13"/>
      <c r="NOG2" s="13"/>
      <c r="NOH2" s="13"/>
      <c r="NOI2" s="13"/>
      <c r="NOJ2" s="13"/>
      <c r="NOK2" s="13"/>
      <c r="NOL2" s="13"/>
      <c r="NOM2" s="13"/>
      <c r="NON2" s="13"/>
      <c r="NOO2" s="13"/>
      <c r="NOP2" s="13"/>
      <c r="NOQ2" s="13"/>
      <c r="NOR2" s="13"/>
      <c r="NOS2" s="13"/>
      <c r="NOT2" s="13"/>
      <c r="NOU2" s="13"/>
      <c r="NOV2" s="13"/>
      <c r="NOW2" s="13"/>
      <c r="NOX2" s="13"/>
      <c r="NOY2" s="13"/>
      <c r="NOZ2" s="13"/>
      <c r="NPA2" s="13"/>
      <c r="NPB2" s="13"/>
      <c r="NPC2" s="13"/>
      <c r="NPD2" s="13"/>
      <c r="NPE2" s="13"/>
      <c r="NPF2" s="13"/>
      <c r="NPG2" s="13"/>
      <c r="NPH2" s="13"/>
      <c r="NPI2" s="13"/>
      <c r="NPJ2" s="13"/>
      <c r="NPK2" s="13"/>
      <c r="NPL2" s="13"/>
      <c r="NPM2" s="13"/>
      <c r="NPN2" s="13"/>
      <c r="NPO2" s="13"/>
      <c r="NPP2" s="13"/>
      <c r="NPQ2" s="13"/>
      <c r="NPR2" s="13"/>
      <c r="NPS2" s="13"/>
      <c r="NPT2" s="13"/>
      <c r="NPU2" s="13"/>
      <c r="NPV2" s="13"/>
      <c r="NPW2" s="13"/>
      <c r="NPX2" s="13"/>
      <c r="NPY2" s="13"/>
      <c r="NPZ2" s="13"/>
      <c r="NQA2" s="13"/>
      <c r="NQB2" s="13"/>
      <c r="NQC2" s="13"/>
      <c r="NQD2" s="13"/>
      <c r="NQE2" s="13"/>
      <c r="NQF2" s="13"/>
      <c r="NQG2" s="13"/>
      <c r="NQH2" s="13"/>
      <c r="NQI2" s="13"/>
      <c r="NQJ2" s="13"/>
      <c r="NQK2" s="13"/>
      <c r="NQL2" s="13"/>
      <c r="NQM2" s="13"/>
      <c r="NQN2" s="13"/>
      <c r="NQO2" s="13"/>
      <c r="NQP2" s="13"/>
      <c r="NQQ2" s="13"/>
      <c r="NQR2" s="13"/>
      <c r="NQS2" s="13"/>
      <c r="NQT2" s="13"/>
      <c r="NQU2" s="13"/>
      <c r="NQV2" s="13"/>
      <c r="NQW2" s="13"/>
      <c r="NQX2" s="13"/>
      <c r="NQY2" s="13"/>
      <c r="NQZ2" s="13"/>
      <c r="NRA2" s="13"/>
      <c r="NRB2" s="13"/>
      <c r="NRC2" s="13"/>
      <c r="NRD2" s="13"/>
      <c r="NRE2" s="13"/>
      <c r="NRF2" s="13"/>
      <c r="NRG2" s="13"/>
      <c r="NRH2" s="13"/>
      <c r="NRI2" s="13"/>
      <c r="NRJ2" s="13"/>
      <c r="NRK2" s="13"/>
      <c r="NRL2" s="13"/>
      <c r="NRM2" s="13"/>
      <c r="NRN2" s="13"/>
      <c r="NRO2" s="13"/>
      <c r="NRP2" s="13"/>
      <c r="NRQ2" s="13"/>
      <c r="NRR2" s="13"/>
      <c r="NRS2" s="13"/>
      <c r="NRT2" s="13"/>
      <c r="NRU2" s="13"/>
      <c r="NRV2" s="13"/>
      <c r="NRW2" s="13"/>
      <c r="NRX2" s="13"/>
      <c r="NRY2" s="13"/>
      <c r="NRZ2" s="13"/>
      <c r="NSA2" s="13"/>
      <c r="NSB2" s="13"/>
      <c r="NSC2" s="13"/>
      <c r="NSD2" s="13"/>
      <c r="NSE2" s="13"/>
      <c r="NSF2" s="13"/>
      <c r="NSG2" s="13"/>
      <c r="NSH2" s="13"/>
      <c r="NSI2" s="13"/>
      <c r="NSJ2" s="13"/>
      <c r="NSK2" s="13"/>
      <c r="NSL2" s="13"/>
      <c r="NSM2" s="13"/>
      <c r="NSN2" s="13"/>
      <c r="NSO2" s="13"/>
      <c r="NSP2" s="13"/>
      <c r="NSQ2" s="13"/>
      <c r="NSR2" s="13"/>
      <c r="NSS2" s="13"/>
      <c r="NST2" s="13"/>
      <c r="NSU2" s="13"/>
      <c r="NSV2" s="13"/>
      <c r="NSW2" s="13"/>
      <c r="NSX2" s="13"/>
      <c r="NSY2" s="13"/>
      <c r="NSZ2" s="13"/>
      <c r="NTA2" s="13"/>
      <c r="NTB2" s="13"/>
      <c r="NTC2" s="13"/>
      <c r="NTD2" s="13"/>
      <c r="NTE2" s="13"/>
      <c r="NTF2" s="13"/>
      <c r="NTG2" s="13"/>
      <c r="NTH2" s="13"/>
      <c r="NTI2" s="13"/>
      <c r="NTJ2" s="13"/>
      <c r="NTK2" s="13"/>
      <c r="NTL2" s="13"/>
      <c r="NTM2" s="13"/>
      <c r="NTN2" s="13"/>
      <c r="NTO2" s="13"/>
      <c r="NTP2" s="13"/>
      <c r="NTQ2" s="13"/>
      <c r="NTR2" s="13"/>
      <c r="NTS2" s="13"/>
      <c r="NTT2" s="13"/>
      <c r="NTU2" s="13"/>
      <c r="NTV2" s="13"/>
      <c r="NTW2" s="13"/>
      <c r="NTX2" s="13"/>
      <c r="NTY2" s="13"/>
      <c r="NTZ2" s="13"/>
      <c r="NUA2" s="13"/>
      <c r="NUB2" s="13"/>
      <c r="NUC2" s="13"/>
      <c r="NUD2" s="13"/>
      <c r="NUE2" s="13"/>
      <c r="NUF2" s="13"/>
      <c r="NUG2" s="13"/>
      <c r="NUH2" s="13"/>
      <c r="NUI2" s="13"/>
      <c r="NUJ2" s="13"/>
      <c r="NUK2" s="13"/>
      <c r="NUL2" s="13"/>
      <c r="NUM2" s="13"/>
      <c r="NUN2" s="13"/>
      <c r="NUO2" s="13"/>
      <c r="NUP2" s="13"/>
      <c r="NUQ2" s="13"/>
      <c r="NUR2" s="13"/>
      <c r="NUS2" s="13"/>
      <c r="NUT2" s="13"/>
      <c r="NUU2" s="13"/>
      <c r="NUV2" s="13"/>
      <c r="NUW2" s="13"/>
      <c r="NUX2" s="13"/>
      <c r="NUY2" s="13"/>
      <c r="NUZ2" s="13"/>
      <c r="NVA2" s="13"/>
      <c r="NVB2" s="13"/>
      <c r="NVC2" s="13"/>
      <c r="NVD2" s="13"/>
      <c r="NVE2" s="13"/>
      <c r="NVF2" s="13"/>
      <c r="NVG2" s="13"/>
      <c r="NVH2" s="13"/>
      <c r="NVI2" s="13"/>
      <c r="NVJ2" s="13"/>
      <c r="NVK2" s="13"/>
      <c r="NVL2" s="13"/>
      <c r="NVM2" s="13"/>
      <c r="NVN2" s="13"/>
      <c r="NVO2" s="13"/>
      <c r="NVP2" s="13"/>
      <c r="NVQ2" s="13"/>
      <c r="NVR2" s="13"/>
      <c r="NVS2" s="13"/>
      <c r="NVT2" s="13"/>
      <c r="NVU2" s="13"/>
      <c r="NVV2" s="13"/>
      <c r="NVW2" s="13"/>
      <c r="NVX2" s="13"/>
      <c r="NVY2" s="13"/>
      <c r="NVZ2" s="13"/>
      <c r="NWA2" s="13"/>
      <c r="NWB2" s="13"/>
      <c r="NWC2" s="13"/>
      <c r="NWD2" s="13"/>
      <c r="NWE2" s="13"/>
      <c r="NWF2" s="13"/>
      <c r="NWG2" s="13"/>
      <c r="NWH2" s="13"/>
      <c r="NWI2" s="13"/>
      <c r="NWJ2" s="13"/>
      <c r="NWK2" s="13"/>
      <c r="NWL2" s="13"/>
      <c r="NWM2" s="13"/>
      <c r="NWN2" s="13"/>
      <c r="NWO2" s="13"/>
      <c r="NWP2" s="13"/>
      <c r="NWQ2" s="13"/>
      <c r="NWR2" s="13"/>
      <c r="NWS2" s="13"/>
      <c r="NWT2" s="13"/>
      <c r="NWU2" s="13"/>
      <c r="NWV2" s="13"/>
      <c r="NWW2" s="13"/>
      <c r="NWX2" s="13"/>
      <c r="NWY2" s="13"/>
      <c r="NWZ2" s="13"/>
      <c r="NXA2" s="13"/>
      <c r="NXB2" s="13"/>
      <c r="NXC2" s="13"/>
      <c r="NXD2" s="13"/>
      <c r="NXE2" s="13"/>
      <c r="NXF2" s="13"/>
      <c r="NXG2" s="13"/>
      <c r="NXH2" s="13"/>
      <c r="NXI2" s="13"/>
      <c r="NXJ2" s="13"/>
      <c r="NXK2" s="13"/>
      <c r="NXL2" s="13"/>
      <c r="NXM2" s="13"/>
      <c r="NXN2" s="13"/>
      <c r="NXO2" s="13"/>
      <c r="NXP2" s="13"/>
      <c r="NXQ2" s="13"/>
      <c r="NXR2" s="13"/>
      <c r="NXS2" s="13"/>
      <c r="NXT2" s="13"/>
      <c r="NXU2" s="13"/>
      <c r="NXV2" s="13"/>
      <c r="NXW2" s="13"/>
      <c r="NXX2" s="13"/>
      <c r="NXY2" s="13"/>
      <c r="NXZ2" s="13"/>
      <c r="NYA2" s="13"/>
      <c r="NYB2" s="13"/>
      <c r="NYC2" s="13"/>
      <c r="NYD2" s="13"/>
      <c r="NYE2" s="13"/>
      <c r="NYF2" s="13"/>
      <c r="NYG2" s="13"/>
      <c r="NYH2" s="13"/>
      <c r="NYI2" s="13"/>
      <c r="NYJ2" s="13"/>
      <c r="NYK2" s="13"/>
      <c r="NYL2" s="13"/>
      <c r="NYM2" s="13"/>
      <c r="NYN2" s="13"/>
      <c r="NYO2" s="13"/>
      <c r="NYP2" s="13"/>
      <c r="NYQ2" s="13"/>
      <c r="NYR2" s="13"/>
      <c r="NYS2" s="13"/>
      <c r="NYT2" s="13"/>
      <c r="NYU2" s="13"/>
      <c r="NYV2" s="13"/>
      <c r="NYW2" s="13"/>
      <c r="NYX2" s="13"/>
      <c r="NYY2" s="13"/>
      <c r="NYZ2" s="13"/>
      <c r="NZA2" s="13"/>
      <c r="NZB2" s="13"/>
      <c r="NZC2" s="13"/>
      <c r="NZD2" s="13"/>
      <c r="NZE2" s="13"/>
      <c r="NZF2" s="13"/>
      <c r="NZG2" s="13"/>
      <c r="NZH2" s="13"/>
      <c r="NZI2" s="13"/>
      <c r="NZJ2" s="13"/>
      <c r="NZK2" s="13"/>
      <c r="NZL2" s="13"/>
      <c r="NZM2" s="13"/>
      <c r="NZN2" s="13"/>
      <c r="NZO2" s="13"/>
      <c r="NZP2" s="13"/>
      <c r="NZQ2" s="13"/>
      <c r="NZR2" s="13"/>
      <c r="NZS2" s="13"/>
      <c r="NZT2" s="13"/>
      <c r="NZU2" s="13"/>
      <c r="NZV2" s="13"/>
      <c r="NZW2" s="13"/>
      <c r="NZX2" s="13"/>
      <c r="NZY2" s="13"/>
      <c r="NZZ2" s="13"/>
      <c r="OAA2" s="13"/>
      <c r="OAB2" s="13"/>
      <c r="OAC2" s="13"/>
      <c r="OAD2" s="13"/>
      <c r="OAE2" s="13"/>
      <c r="OAF2" s="13"/>
      <c r="OAG2" s="13"/>
      <c r="OAH2" s="13"/>
      <c r="OAI2" s="13"/>
      <c r="OAJ2" s="13"/>
      <c r="OAK2" s="13"/>
      <c r="OAL2" s="13"/>
      <c r="OAM2" s="13"/>
      <c r="OAN2" s="13"/>
      <c r="OAO2" s="13"/>
      <c r="OAP2" s="13"/>
      <c r="OAQ2" s="13"/>
      <c r="OAR2" s="13"/>
      <c r="OAS2" s="13"/>
      <c r="OAT2" s="13"/>
      <c r="OAU2" s="13"/>
      <c r="OAV2" s="13"/>
      <c r="OAW2" s="13"/>
      <c r="OAX2" s="13"/>
      <c r="OAY2" s="13"/>
      <c r="OAZ2" s="13"/>
      <c r="OBA2" s="13"/>
      <c r="OBB2" s="13"/>
      <c r="OBC2" s="13"/>
      <c r="OBD2" s="13"/>
      <c r="OBE2" s="13"/>
      <c r="OBF2" s="13"/>
      <c r="OBG2" s="13"/>
      <c r="OBH2" s="13"/>
      <c r="OBI2" s="13"/>
      <c r="OBJ2" s="13"/>
      <c r="OBK2" s="13"/>
      <c r="OBL2" s="13"/>
      <c r="OBM2" s="13"/>
      <c r="OBN2" s="13"/>
      <c r="OBO2" s="13"/>
      <c r="OBP2" s="13"/>
      <c r="OBQ2" s="13"/>
      <c r="OBR2" s="13"/>
      <c r="OBS2" s="13"/>
      <c r="OBT2" s="13"/>
      <c r="OBU2" s="13"/>
      <c r="OBV2" s="13"/>
      <c r="OBW2" s="13"/>
      <c r="OBX2" s="13"/>
      <c r="OBY2" s="13"/>
      <c r="OBZ2" s="13"/>
      <c r="OCA2" s="13"/>
      <c r="OCB2" s="13"/>
      <c r="OCC2" s="13"/>
      <c r="OCD2" s="13"/>
      <c r="OCE2" s="13"/>
      <c r="OCF2" s="13"/>
      <c r="OCG2" s="13"/>
      <c r="OCH2" s="13"/>
      <c r="OCI2" s="13"/>
      <c r="OCJ2" s="13"/>
      <c r="OCK2" s="13"/>
      <c r="OCL2" s="13"/>
      <c r="OCM2" s="13"/>
      <c r="OCN2" s="13"/>
      <c r="OCO2" s="13"/>
      <c r="OCP2" s="13"/>
      <c r="OCQ2" s="13"/>
      <c r="OCR2" s="13"/>
      <c r="OCS2" s="13"/>
      <c r="OCT2" s="13"/>
      <c r="OCU2" s="13"/>
      <c r="OCV2" s="13"/>
      <c r="OCW2" s="13"/>
      <c r="OCX2" s="13"/>
      <c r="OCY2" s="13"/>
      <c r="OCZ2" s="13"/>
      <c r="ODA2" s="13"/>
      <c r="ODB2" s="13"/>
      <c r="ODC2" s="13"/>
      <c r="ODD2" s="13"/>
      <c r="ODE2" s="13"/>
      <c r="ODF2" s="13"/>
      <c r="ODG2" s="13"/>
      <c r="ODH2" s="13"/>
      <c r="ODI2" s="13"/>
      <c r="ODJ2" s="13"/>
      <c r="ODK2" s="13"/>
      <c r="ODL2" s="13"/>
      <c r="ODM2" s="13"/>
      <c r="ODN2" s="13"/>
      <c r="ODO2" s="13"/>
      <c r="ODP2" s="13"/>
      <c r="ODQ2" s="13"/>
      <c r="ODR2" s="13"/>
      <c r="ODS2" s="13"/>
      <c r="ODT2" s="13"/>
      <c r="ODU2" s="13"/>
      <c r="ODV2" s="13"/>
      <c r="ODW2" s="13"/>
      <c r="ODX2" s="13"/>
      <c r="ODY2" s="13"/>
      <c r="ODZ2" s="13"/>
      <c r="OEA2" s="13"/>
      <c r="OEB2" s="13"/>
      <c r="OEC2" s="13"/>
      <c r="OED2" s="13"/>
      <c r="OEE2" s="13"/>
      <c r="OEF2" s="13"/>
      <c r="OEG2" s="13"/>
      <c r="OEH2" s="13"/>
      <c r="OEI2" s="13"/>
      <c r="OEJ2" s="13"/>
      <c r="OEK2" s="13"/>
      <c r="OEL2" s="13"/>
      <c r="OEM2" s="13"/>
      <c r="OEN2" s="13"/>
      <c r="OEO2" s="13"/>
      <c r="OEP2" s="13"/>
      <c r="OEQ2" s="13"/>
      <c r="OER2" s="13"/>
      <c r="OES2" s="13"/>
      <c r="OET2" s="13"/>
      <c r="OEU2" s="13"/>
      <c r="OEV2" s="13"/>
      <c r="OEW2" s="13"/>
      <c r="OEX2" s="13"/>
      <c r="OEY2" s="13"/>
      <c r="OEZ2" s="13"/>
      <c r="OFA2" s="13"/>
      <c r="OFB2" s="13"/>
      <c r="OFC2" s="13"/>
      <c r="OFD2" s="13"/>
      <c r="OFE2" s="13"/>
      <c r="OFF2" s="13"/>
      <c r="OFG2" s="13"/>
      <c r="OFH2" s="13"/>
      <c r="OFI2" s="13"/>
      <c r="OFJ2" s="13"/>
      <c r="OFK2" s="13"/>
      <c r="OFL2" s="13"/>
      <c r="OFM2" s="13"/>
      <c r="OFN2" s="13"/>
      <c r="OFO2" s="13"/>
      <c r="OFP2" s="13"/>
      <c r="OFQ2" s="13"/>
      <c r="OFR2" s="13"/>
      <c r="OFS2" s="13"/>
      <c r="OFT2" s="13"/>
      <c r="OFU2" s="13"/>
      <c r="OFV2" s="13"/>
      <c r="OFW2" s="13"/>
      <c r="OFX2" s="13"/>
      <c r="OFY2" s="13"/>
      <c r="OFZ2" s="13"/>
      <c r="OGA2" s="13"/>
      <c r="OGB2" s="13"/>
      <c r="OGC2" s="13"/>
      <c r="OGD2" s="13"/>
      <c r="OGE2" s="13"/>
      <c r="OGF2" s="13"/>
      <c r="OGG2" s="13"/>
      <c r="OGH2" s="13"/>
      <c r="OGI2" s="13"/>
      <c r="OGJ2" s="13"/>
      <c r="OGK2" s="13"/>
      <c r="OGL2" s="13"/>
      <c r="OGM2" s="13"/>
      <c r="OGN2" s="13"/>
      <c r="OGO2" s="13"/>
      <c r="OGP2" s="13"/>
      <c r="OGQ2" s="13"/>
      <c r="OGR2" s="13"/>
      <c r="OGS2" s="13"/>
      <c r="OGT2" s="13"/>
      <c r="OGU2" s="13"/>
      <c r="OGV2" s="13"/>
      <c r="OGW2" s="13"/>
      <c r="OGX2" s="13"/>
      <c r="OGY2" s="13"/>
      <c r="OGZ2" s="13"/>
      <c r="OHA2" s="13"/>
      <c r="OHB2" s="13"/>
      <c r="OHC2" s="13"/>
      <c r="OHD2" s="13"/>
      <c r="OHE2" s="13"/>
      <c r="OHF2" s="13"/>
      <c r="OHG2" s="13"/>
      <c r="OHH2" s="13"/>
      <c r="OHI2" s="13"/>
      <c r="OHJ2" s="13"/>
      <c r="OHK2" s="13"/>
      <c r="OHL2" s="13"/>
      <c r="OHM2" s="13"/>
      <c r="OHN2" s="13"/>
      <c r="OHO2" s="13"/>
      <c r="OHP2" s="13"/>
      <c r="OHQ2" s="13"/>
      <c r="OHR2" s="13"/>
      <c r="OHS2" s="13"/>
      <c r="OHT2" s="13"/>
      <c r="OHU2" s="13"/>
      <c r="OHV2" s="13"/>
      <c r="OHW2" s="13"/>
      <c r="OHX2" s="13"/>
      <c r="OHY2" s="13"/>
      <c r="OHZ2" s="13"/>
      <c r="OIA2" s="13"/>
      <c r="OIB2" s="13"/>
      <c r="OIC2" s="13"/>
      <c r="OID2" s="13"/>
      <c r="OIE2" s="13"/>
      <c r="OIF2" s="13"/>
      <c r="OIG2" s="13"/>
      <c r="OIH2" s="13"/>
      <c r="OII2" s="13"/>
      <c r="OIJ2" s="13"/>
      <c r="OIK2" s="13"/>
      <c r="OIL2" s="13"/>
      <c r="OIM2" s="13"/>
      <c r="OIN2" s="13"/>
      <c r="OIO2" s="13"/>
      <c r="OIP2" s="13"/>
      <c r="OIQ2" s="13"/>
      <c r="OIR2" s="13"/>
      <c r="OIS2" s="13"/>
      <c r="OIT2" s="13"/>
      <c r="OIU2" s="13"/>
      <c r="OIV2" s="13"/>
      <c r="OIW2" s="13"/>
      <c r="OIX2" s="13"/>
      <c r="OIY2" s="13"/>
      <c r="OIZ2" s="13"/>
      <c r="OJA2" s="13"/>
      <c r="OJB2" s="13"/>
      <c r="OJC2" s="13"/>
      <c r="OJD2" s="13"/>
      <c r="OJE2" s="13"/>
      <c r="OJF2" s="13"/>
      <c r="OJG2" s="13"/>
      <c r="OJH2" s="13"/>
      <c r="OJI2" s="13"/>
      <c r="OJJ2" s="13"/>
      <c r="OJK2" s="13"/>
      <c r="OJL2" s="13"/>
      <c r="OJM2" s="13"/>
      <c r="OJN2" s="13"/>
      <c r="OJO2" s="13"/>
      <c r="OJP2" s="13"/>
      <c r="OJQ2" s="13"/>
      <c r="OJR2" s="13"/>
      <c r="OJS2" s="13"/>
      <c r="OJT2" s="13"/>
      <c r="OJU2" s="13"/>
      <c r="OJV2" s="13"/>
      <c r="OJW2" s="13"/>
      <c r="OJX2" s="13"/>
      <c r="OJY2" s="13"/>
      <c r="OJZ2" s="13"/>
      <c r="OKA2" s="13"/>
      <c r="OKB2" s="13"/>
      <c r="OKC2" s="13"/>
      <c r="OKD2" s="13"/>
      <c r="OKE2" s="13"/>
      <c r="OKF2" s="13"/>
      <c r="OKG2" s="13"/>
      <c r="OKH2" s="13"/>
      <c r="OKI2" s="13"/>
      <c r="OKJ2" s="13"/>
      <c r="OKK2" s="13"/>
      <c r="OKL2" s="13"/>
      <c r="OKM2" s="13"/>
      <c r="OKN2" s="13"/>
      <c r="OKO2" s="13"/>
      <c r="OKP2" s="13"/>
      <c r="OKQ2" s="13"/>
      <c r="OKR2" s="13"/>
      <c r="OKS2" s="13"/>
      <c r="OKT2" s="13"/>
      <c r="OKU2" s="13"/>
      <c r="OKV2" s="13"/>
      <c r="OKW2" s="13"/>
      <c r="OKX2" s="13"/>
      <c r="OKY2" s="13"/>
      <c r="OKZ2" s="13"/>
      <c r="OLA2" s="13"/>
      <c r="OLB2" s="13"/>
      <c r="OLC2" s="13"/>
      <c r="OLD2" s="13"/>
      <c r="OLE2" s="13"/>
      <c r="OLF2" s="13"/>
      <c r="OLG2" s="13"/>
      <c r="OLH2" s="13"/>
      <c r="OLI2" s="13"/>
      <c r="OLJ2" s="13"/>
      <c r="OLK2" s="13"/>
      <c r="OLL2" s="13"/>
      <c r="OLM2" s="13"/>
      <c r="OLN2" s="13"/>
      <c r="OLO2" s="13"/>
      <c r="OLP2" s="13"/>
      <c r="OLQ2" s="13"/>
      <c r="OLR2" s="13"/>
      <c r="OLS2" s="13"/>
      <c r="OLT2" s="13"/>
      <c r="OLU2" s="13"/>
      <c r="OLV2" s="13"/>
      <c r="OLW2" s="13"/>
      <c r="OLX2" s="13"/>
      <c r="OLY2" s="13"/>
      <c r="OLZ2" s="13"/>
      <c r="OMA2" s="13"/>
      <c r="OMB2" s="13"/>
      <c r="OMC2" s="13"/>
      <c r="OMD2" s="13"/>
      <c r="OME2" s="13"/>
      <c r="OMF2" s="13"/>
      <c r="OMG2" s="13"/>
      <c r="OMH2" s="13"/>
      <c r="OMI2" s="13"/>
      <c r="OMJ2" s="13"/>
      <c r="OMK2" s="13"/>
      <c r="OML2" s="13"/>
      <c r="OMM2" s="13"/>
      <c r="OMN2" s="13"/>
      <c r="OMO2" s="13"/>
      <c r="OMP2" s="13"/>
      <c r="OMQ2" s="13"/>
      <c r="OMR2" s="13"/>
      <c r="OMS2" s="13"/>
      <c r="OMT2" s="13"/>
      <c r="OMU2" s="13"/>
      <c r="OMV2" s="13"/>
      <c r="OMW2" s="13"/>
      <c r="OMX2" s="13"/>
      <c r="OMY2" s="13"/>
      <c r="OMZ2" s="13"/>
      <c r="ONA2" s="13"/>
      <c r="ONB2" s="13"/>
      <c r="ONC2" s="13"/>
      <c r="OND2" s="13"/>
      <c r="ONE2" s="13"/>
      <c r="ONF2" s="13"/>
      <c r="ONG2" s="13"/>
      <c r="ONH2" s="13"/>
      <c r="ONI2" s="13"/>
      <c r="ONJ2" s="13"/>
      <c r="ONK2" s="13"/>
      <c r="ONL2" s="13"/>
      <c r="ONM2" s="13"/>
      <c r="ONN2" s="13"/>
      <c r="ONO2" s="13"/>
      <c r="ONP2" s="13"/>
      <c r="ONQ2" s="13"/>
      <c r="ONR2" s="13"/>
      <c r="ONS2" s="13"/>
      <c r="ONT2" s="13"/>
      <c r="ONU2" s="13"/>
      <c r="ONV2" s="13"/>
      <c r="ONW2" s="13"/>
      <c r="ONX2" s="13"/>
      <c r="ONY2" s="13"/>
      <c r="ONZ2" s="13"/>
      <c r="OOA2" s="13"/>
      <c r="OOB2" s="13"/>
      <c r="OOC2" s="13"/>
      <c r="OOD2" s="13"/>
      <c r="OOE2" s="13"/>
      <c r="OOF2" s="13"/>
      <c r="OOG2" s="13"/>
      <c r="OOH2" s="13"/>
      <c r="OOI2" s="13"/>
      <c r="OOJ2" s="13"/>
      <c r="OOK2" s="13"/>
      <c r="OOL2" s="13"/>
      <c r="OOM2" s="13"/>
      <c r="OON2" s="13"/>
      <c r="OOO2" s="13"/>
      <c r="OOP2" s="13"/>
      <c r="OOQ2" s="13"/>
      <c r="OOR2" s="13"/>
      <c r="OOS2" s="13"/>
      <c r="OOT2" s="13"/>
      <c r="OOU2" s="13"/>
      <c r="OOV2" s="13"/>
      <c r="OOW2" s="13"/>
      <c r="OOX2" s="13"/>
      <c r="OOY2" s="13"/>
      <c r="OOZ2" s="13"/>
      <c r="OPA2" s="13"/>
      <c r="OPB2" s="13"/>
      <c r="OPC2" s="13"/>
      <c r="OPD2" s="13"/>
      <c r="OPE2" s="13"/>
      <c r="OPF2" s="13"/>
      <c r="OPG2" s="13"/>
      <c r="OPH2" s="13"/>
      <c r="OPI2" s="13"/>
      <c r="OPJ2" s="13"/>
      <c r="OPK2" s="13"/>
      <c r="OPL2" s="13"/>
      <c r="OPM2" s="13"/>
      <c r="OPN2" s="13"/>
      <c r="OPO2" s="13"/>
      <c r="OPP2" s="13"/>
      <c r="OPQ2" s="13"/>
      <c r="OPR2" s="13"/>
      <c r="OPS2" s="13"/>
      <c r="OPT2" s="13"/>
      <c r="OPU2" s="13"/>
      <c r="OPV2" s="13"/>
      <c r="OPW2" s="13"/>
      <c r="OPX2" s="13"/>
      <c r="OPY2" s="13"/>
      <c r="OPZ2" s="13"/>
      <c r="OQA2" s="13"/>
      <c r="OQB2" s="13"/>
      <c r="OQC2" s="13"/>
      <c r="OQD2" s="13"/>
      <c r="OQE2" s="13"/>
      <c r="OQF2" s="13"/>
      <c r="OQG2" s="13"/>
      <c r="OQH2" s="13"/>
      <c r="OQI2" s="13"/>
      <c r="OQJ2" s="13"/>
      <c r="OQK2" s="13"/>
      <c r="OQL2" s="13"/>
      <c r="OQM2" s="13"/>
      <c r="OQN2" s="13"/>
      <c r="OQO2" s="13"/>
      <c r="OQP2" s="13"/>
      <c r="OQQ2" s="13"/>
      <c r="OQR2" s="13"/>
      <c r="OQS2" s="13"/>
      <c r="OQT2" s="13"/>
      <c r="OQU2" s="13"/>
      <c r="OQV2" s="13"/>
      <c r="OQW2" s="13"/>
      <c r="OQX2" s="13"/>
      <c r="OQY2" s="13"/>
      <c r="OQZ2" s="13"/>
      <c r="ORA2" s="13"/>
      <c r="ORB2" s="13"/>
      <c r="ORC2" s="13"/>
      <c r="ORD2" s="13"/>
      <c r="ORE2" s="13"/>
      <c r="ORF2" s="13"/>
      <c r="ORG2" s="13"/>
      <c r="ORH2" s="13"/>
      <c r="ORI2" s="13"/>
      <c r="ORJ2" s="13"/>
      <c r="ORK2" s="13"/>
      <c r="ORL2" s="13"/>
      <c r="ORM2" s="13"/>
      <c r="ORN2" s="13"/>
      <c r="ORO2" s="13"/>
      <c r="ORP2" s="13"/>
      <c r="ORQ2" s="13"/>
      <c r="ORR2" s="13"/>
      <c r="ORS2" s="13"/>
      <c r="ORT2" s="13"/>
      <c r="ORU2" s="13"/>
      <c r="ORV2" s="13"/>
      <c r="ORW2" s="13"/>
      <c r="ORX2" s="13"/>
      <c r="ORY2" s="13"/>
      <c r="ORZ2" s="13"/>
      <c r="OSA2" s="13"/>
      <c r="OSB2" s="13"/>
      <c r="OSC2" s="13"/>
      <c r="OSD2" s="13"/>
      <c r="OSE2" s="13"/>
      <c r="OSF2" s="13"/>
      <c r="OSG2" s="13"/>
      <c r="OSH2" s="13"/>
      <c r="OSI2" s="13"/>
      <c r="OSJ2" s="13"/>
      <c r="OSK2" s="13"/>
      <c r="OSL2" s="13"/>
      <c r="OSM2" s="13"/>
      <c r="OSN2" s="13"/>
      <c r="OSO2" s="13"/>
      <c r="OSP2" s="13"/>
      <c r="OSQ2" s="13"/>
      <c r="OSR2" s="13"/>
      <c r="OSS2" s="13"/>
      <c r="OST2" s="13"/>
      <c r="OSU2" s="13"/>
      <c r="OSV2" s="13"/>
      <c r="OSW2" s="13"/>
      <c r="OSX2" s="13"/>
      <c r="OSY2" s="13"/>
      <c r="OSZ2" s="13"/>
      <c r="OTA2" s="13"/>
      <c r="OTB2" s="13"/>
      <c r="OTC2" s="13"/>
      <c r="OTD2" s="13"/>
      <c r="OTE2" s="13"/>
      <c r="OTF2" s="13"/>
      <c r="OTG2" s="13"/>
      <c r="OTH2" s="13"/>
      <c r="OTI2" s="13"/>
      <c r="OTJ2" s="13"/>
      <c r="OTK2" s="13"/>
      <c r="OTL2" s="13"/>
      <c r="OTM2" s="13"/>
      <c r="OTN2" s="13"/>
      <c r="OTO2" s="13"/>
      <c r="OTP2" s="13"/>
      <c r="OTQ2" s="13"/>
      <c r="OTR2" s="13"/>
      <c r="OTS2" s="13"/>
      <c r="OTT2" s="13"/>
      <c r="OTU2" s="13"/>
      <c r="OTV2" s="13"/>
      <c r="OTW2" s="13"/>
      <c r="OTX2" s="13"/>
      <c r="OTY2" s="13"/>
      <c r="OTZ2" s="13"/>
      <c r="OUA2" s="13"/>
      <c r="OUB2" s="13"/>
      <c r="OUC2" s="13"/>
      <c r="OUD2" s="13"/>
      <c r="OUE2" s="13"/>
      <c r="OUF2" s="13"/>
      <c r="OUG2" s="13"/>
      <c r="OUH2" s="13"/>
      <c r="OUI2" s="13"/>
      <c r="OUJ2" s="13"/>
      <c r="OUK2" s="13"/>
      <c r="OUL2" s="13"/>
      <c r="OUM2" s="13"/>
      <c r="OUN2" s="13"/>
      <c r="OUO2" s="13"/>
      <c r="OUP2" s="13"/>
      <c r="OUQ2" s="13"/>
      <c r="OUR2" s="13"/>
      <c r="OUS2" s="13"/>
      <c r="OUT2" s="13"/>
      <c r="OUU2" s="13"/>
      <c r="OUV2" s="13"/>
      <c r="OUW2" s="13"/>
      <c r="OUX2" s="13"/>
      <c r="OUY2" s="13"/>
      <c r="OUZ2" s="13"/>
      <c r="OVA2" s="13"/>
      <c r="OVB2" s="13"/>
      <c r="OVC2" s="13"/>
      <c r="OVD2" s="13"/>
      <c r="OVE2" s="13"/>
      <c r="OVF2" s="13"/>
      <c r="OVG2" s="13"/>
      <c r="OVH2" s="13"/>
      <c r="OVI2" s="13"/>
      <c r="OVJ2" s="13"/>
      <c r="OVK2" s="13"/>
      <c r="OVL2" s="13"/>
      <c r="OVM2" s="13"/>
      <c r="OVN2" s="13"/>
      <c r="OVO2" s="13"/>
      <c r="OVP2" s="13"/>
      <c r="OVQ2" s="13"/>
      <c r="OVR2" s="13"/>
      <c r="OVS2" s="13"/>
      <c r="OVT2" s="13"/>
      <c r="OVU2" s="13"/>
      <c r="OVV2" s="13"/>
      <c r="OVW2" s="13"/>
      <c r="OVX2" s="13"/>
      <c r="OVY2" s="13"/>
      <c r="OVZ2" s="13"/>
      <c r="OWA2" s="13"/>
      <c r="OWB2" s="13"/>
      <c r="OWC2" s="13"/>
      <c r="OWD2" s="13"/>
      <c r="OWE2" s="13"/>
      <c r="OWF2" s="13"/>
      <c r="OWG2" s="13"/>
      <c r="OWH2" s="13"/>
      <c r="OWI2" s="13"/>
      <c r="OWJ2" s="13"/>
      <c r="OWK2" s="13"/>
      <c r="OWL2" s="13"/>
      <c r="OWM2" s="13"/>
      <c r="OWN2" s="13"/>
      <c r="OWO2" s="13"/>
      <c r="OWP2" s="13"/>
      <c r="OWQ2" s="13"/>
      <c r="OWR2" s="13"/>
      <c r="OWS2" s="13"/>
      <c r="OWT2" s="13"/>
      <c r="OWU2" s="13"/>
      <c r="OWV2" s="13"/>
      <c r="OWW2" s="13"/>
      <c r="OWX2" s="13"/>
      <c r="OWY2" s="13"/>
      <c r="OWZ2" s="13"/>
      <c r="OXA2" s="13"/>
      <c r="OXB2" s="13"/>
      <c r="OXC2" s="13"/>
      <c r="OXD2" s="13"/>
      <c r="OXE2" s="13"/>
      <c r="OXF2" s="13"/>
      <c r="OXG2" s="13"/>
      <c r="OXH2" s="13"/>
      <c r="OXI2" s="13"/>
      <c r="OXJ2" s="13"/>
      <c r="OXK2" s="13"/>
      <c r="OXL2" s="13"/>
      <c r="OXM2" s="13"/>
      <c r="OXN2" s="13"/>
      <c r="OXO2" s="13"/>
      <c r="OXP2" s="13"/>
      <c r="OXQ2" s="13"/>
      <c r="OXR2" s="13"/>
      <c r="OXS2" s="13"/>
      <c r="OXT2" s="13"/>
      <c r="OXU2" s="13"/>
      <c r="OXV2" s="13"/>
      <c r="OXW2" s="13"/>
      <c r="OXX2" s="13"/>
      <c r="OXY2" s="13"/>
      <c r="OXZ2" s="13"/>
      <c r="OYA2" s="13"/>
      <c r="OYB2" s="13"/>
      <c r="OYC2" s="13"/>
      <c r="OYD2" s="13"/>
      <c r="OYE2" s="13"/>
      <c r="OYF2" s="13"/>
      <c r="OYG2" s="13"/>
      <c r="OYH2" s="13"/>
      <c r="OYI2" s="13"/>
      <c r="OYJ2" s="13"/>
      <c r="OYK2" s="13"/>
      <c r="OYL2" s="13"/>
      <c r="OYM2" s="13"/>
      <c r="OYN2" s="13"/>
      <c r="OYO2" s="13"/>
      <c r="OYP2" s="13"/>
      <c r="OYQ2" s="13"/>
      <c r="OYR2" s="13"/>
      <c r="OYS2" s="13"/>
      <c r="OYT2" s="13"/>
      <c r="OYU2" s="13"/>
      <c r="OYV2" s="13"/>
      <c r="OYW2" s="13"/>
      <c r="OYX2" s="13"/>
      <c r="OYY2" s="13"/>
      <c r="OYZ2" s="13"/>
      <c r="OZA2" s="13"/>
      <c r="OZB2" s="13"/>
      <c r="OZC2" s="13"/>
      <c r="OZD2" s="13"/>
      <c r="OZE2" s="13"/>
      <c r="OZF2" s="13"/>
      <c r="OZG2" s="13"/>
      <c r="OZH2" s="13"/>
      <c r="OZI2" s="13"/>
      <c r="OZJ2" s="13"/>
      <c r="OZK2" s="13"/>
      <c r="OZL2" s="13"/>
      <c r="OZM2" s="13"/>
      <c r="OZN2" s="13"/>
      <c r="OZO2" s="13"/>
      <c r="OZP2" s="13"/>
      <c r="OZQ2" s="13"/>
      <c r="OZR2" s="13"/>
      <c r="OZS2" s="13"/>
      <c r="OZT2" s="13"/>
      <c r="OZU2" s="13"/>
      <c r="OZV2" s="13"/>
      <c r="OZW2" s="13"/>
      <c r="OZX2" s="13"/>
      <c r="OZY2" s="13"/>
      <c r="OZZ2" s="13"/>
      <c r="PAA2" s="13"/>
      <c r="PAB2" s="13"/>
      <c r="PAC2" s="13"/>
      <c r="PAD2" s="13"/>
      <c r="PAE2" s="13"/>
      <c r="PAF2" s="13"/>
      <c r="PAG2" s="13"/>
      <c r="PAH2" s="13"/>
      <c r="PAI2" s="13"/>
      <c r="PAJ2" s="13"/>
      <c r="PAK2" s="13"/>
      <c r="PAL2" s="13"/>
      <c r="PAM2" s="13"/>
      <c r="PAN2" s="13"/>
      <c r="PAO2" s="13"/>
      <c r="PAP2" s="13"/>
      <c r="PAQ2" s="13"/>
      <c r="PAR2" s="13"/>
      <c r="PAS2" s="13"/>
      <c r="PAT2" s="13"/>
      <c r="PAU2" s="13"/>
      <c r="PAV2" s="13"/>
      <c r="PAW2" s="13"/>
      <c r="PAX2" s="13"/>
      <c r="PAY2" s="13"/>
      <c r="PAZ2" s="13"/>
      <c r="PBA2" s="13"/>
      <c r="PBB2" s="13"/>
      <c r="PBC2" s="13"/>
      <c r="PBD2" s="13"/>
      <c r="PBE2" s="13"/>
      <c r="PBF2" s="13"/>
      <c r="PBG2" s="13"/>
      <c r="PBH2" s="13"/>
      <c r="PBI2" s="13"/>
      <c r="PBJ2" s="13"/>
      <c r="PBK2" s="13"/>
      <c r="PBL2" s="13"/>
      <c r="PBM2" s="13"/>
      <c r="PBN2" s="13"/>
      <c r="PBO2" s="13"/>
      <c r="PBP2" s="13"/>
      <c r="PBQ2" s="13"/>
      <c r="PBR2" s="13"/>
      <c r="PBS2" s="13"/>
      <c r="PBT2" s="13"/>
      <c r="PBU2" s="13"/>
      <c r="PBV2" s="13"/>
      <c r="PBW2" s="13"/>
      <c r="PBX2" s="13"/>
      <c r="PBY2" s="13"/>
      <c r="PBZ2" s="13"/>
      <c r="PCA2" s="13"/>
      <c r="PCB2" s="13"/>
      <c r="PCC2" s="13"/>
      <c r="PCD2" s="13"/>
      <c r="PCE2" s="13"/>
      <c r="PCF2" s="13"/>
      <c r="PCG2" s="13"/>
      <c r="PCH2" s="13"/>
      <c r="PCI2" s="13"/>
      <c r="PCJ2" s="13"/>
      <c r="PCK2" s="13"/>
      <c r="PCL2" s="13"/>
      <c r="PCM2" s="13"/>
      <c r="PCN2" s="13"/>
      <c r="PCO2" s="13"/>
      <c r="PCP2" s="13"/>
      <c r="PCQ2" s="13"/>
      <c r="PCR2" s="13"/>
      <c r="PCS2" s="13"/>
      <c r="PCT2" s="13"/>
      <c r="PCU2" s="13"/>
      <c r="PCV2" s="13"/>
      <c r="PCW2" s="13"/>
      <c r="PCX2" s="13"/>
      <c r="PCY2" s="13"/>
      <c r="PCZ2" s="13"/>
      <c r="PDA2" s="13"/>
      <c r="PDB2" s="13"/>
      <c r="PDC2" s="13"/>
      <c r="PDD2" s="13"/>
      <c r="PDE2" s="13"/>
      <c r="PDF2" s="13"/>
      <c r="PDG2" s="13"/>
      <c r="PDH2" s="13"/>
      <c r="PDI2" s="13"/>
      <c r="PDJ2" s="13"/>
      <c r="PDK2" s="13"/>
      <c r="PDL2" s="13"/>
      <c r="PDM2" s="13"/>
      <c r="PDN2" s="13"/>
      <c r="PDO2" s="13"/>
      <c r="PDP2" s="13"/>
      <c r="PDQ2" s="13"/>
      <c r="PDR2" s="13"/>
      <c r="PDS2" s="13"/>
      <c r="PDT2" s="13"/>
      <c r="PDU2" s="13"/>
      <c r="PDV2" s="13"/>
      <c r="PDW2" s="13"/>
      <c r="PDX2" s="13"/>
      <c r="PDY2" s="13"/>
      <c r="PDZ2" s="13"/>
      <c r="PEA2" s="13"/>
      <c r="PEB2" s="13"/>
      <c r="PEC2" s="13"/>
      <c r="PED2" s="13"/>
      <c r="PEE2" s="13"/>
      <c r="PEF2" s="13"/>
      <c r="PEG2" s="13"/>
      <c r="PEH2" s="13"/>
      <c r="PEI2" s="13"/>
      <c r="PEJ2" s="13"/>
      <c r="PEK2" s="13"/>
      <c r="PEL2" s="13"/>
      <c r="PEM2" s="13"/>
      <c r="PEN2" s="13"/>
      <c r="PEO2" s="13"/>
      <c r="PEP2" s="13"/>
      <c r="PEQ2" s="13"/>
      <c r="PER2" s="13"/>
      <c r="PES2" s="13"/>
      <c r="PET2" s="13"/>
      <c r="PEU2" s="13"/>
      <c r="PEV2" s="13"/>
      <c r="PEW2" s="13"/>
      <c r="PEX2" s="13"/>
      <c r="PEY2" s="13"/>
      <c r="PEZ2" s="13"/>
      <c r="PFA2" s="13"/>
      <c r="PFB2" s="13"/>
      <c r="PFC2" s="13"/>
      <c r="PFD2" s="13"/>
      <c r="PFE2" s="13"/>
      <c r="PFF2" s="13"/>
      <c r="PFG2" s="13"/>
      <c r="PFH2" s="13"/>
      <c r="PFI2" s="13"/>
      <c r="PFJ2" s="13"/>
      <c r="PFK2" s="13"/>
      <c r="PFL2" s="13"/>
      <c r="PFM2" s="13"/>
      <c r="PFN2" s="13"/>
      <c r="PFO2" s="13"/>
      <c r="PFP2" s="13"/>
      <c r="PFQ2" s="13"/>
      <c r="PFR2" s="13"/>
      <c r="PFS2" s="13"/>
      <c r="PFT2" s="13"/>
      <c r="PFU2" s="13"/>
      <c r="PFV2" s="13"/>
      <c r="PFW2" s="13"/>
      <c r="PFX2" s="13"/>
      <c r="PFY2" s="13"/>
      <c r="PFZ2" s="13"/>
      <c r="PGA2" s="13"/>
      <c r="PGB2" s="13"/>
      <c r="PGC2" s="13"/>
      <c r="PGD2" s="13"/>
      <c r="PGE2" s="13"/>
      <c r="PGF2" s="13"/>
      <c r="PGG2" s="13"/>
      <c r="PGH2" s="13"/>
      <c r="PGI2" s="13"/>
      <c r="PGJ2" s="13"/>
      <c r="PGK2" s="13"/>
      <c r="PGL2" s="13"/>
      <c r="PGM2" s="13"/>
      <c r="PGN2" s="13"/>
      <c r="PGO2" s="13"/>
      <c r="PGP2" s="13"/>
      <c r="PGQ2" s="13"/>
      <c r="PGR2" s="13"/>
      <c r="PGS2" s="13"/>
      <c r="PGT2" s="13"/>
      <c r="PGU2" s="13"/>
      <c r="PGV2" s="13"/>
      <c r="PGW2" s="13"/>
      <c r="PGX2" s="13"/>
      <c r="PGY2" s="13"/>
      <c r="PGZ2" s="13"/>
      <c r="PHA2" s="13"/>
      <c r="PHB2" s="13"/>
      <c r="PHC2" s="13"/>
      <c r="PHD2" s="13"/>
      <c r="PHE2" s="13"/>
      <c r="PHF2" s="13"/>
      <c r="PHG2" s="13"/>
      <c r="PHH2" s="13"/>
      <c r="PHI2" s="13"/>
      <c r="PHJ2" s="13"/>
      <c r="PHK2" s="13"/>
      <c r="PHL2" s="13"/>
      <c r="PHM2" s="13"/>
      <c r="PHN2" s="13"/>
      <c r="PHO2" s="13"/>
      <c r="PHP2" s="13"/>
      <c r="PHQ2" s="13"/>
      <c r="PHR2" s="13"/>
      <c r="PHS2" s="13"/>
      <c r="PHT2" s="13"/>
      <c r="PHU2" s="13"/>
      <c r="PHV2" s="13"/>
      <c r="PHW2" s="13"/>
      <c r="PHX2" s="13"/>
      <c r="PHY2" s="13"/>
      <c r="PHZ2" s="13"/>
      <c r="PIA2" s="13"/>
      <c r="PIB2" s="13"/>
      <c r="PIC2" s="13"/>
      <c r="PID2" s="13"/>
      <c r="PIE2" s="13"/>
      <c r="PIF2" s="13"/>
      <c r="PIG2" s="13"/>
      <c r="PIH2" s="13"/>
      <c r="PII2" s="13"/>
      <c r="PIJ2" s="13"/>
      <c r="PIK2" s="13"/>
      <c r="PIL2" s="13"/>
      <c r="PIM2" s="13"/>
      <c r="PIN2" s="13"/>
      <c r="PIO2" s="13"/>
      <c r="PIP2" s="13"/>
      <c r="PIQ2" s="13"/>
      <c r="PIR2" s="13"/>
      <c r="PIS2" s="13"/>
      <c r="PIT2" s="13"/>
      <c r="PIU2" s="13"/>
      <c r="PIV2" s="13"/>
      <c r="PIW2" s="13"/>
      <c r="PIX2" s="13"/>
      <c r="PIY2" s="13"/>
      <c r="PIZ2" s="13"/>
      <c r="PJA2" s="13"/>
      <c r="PJB2" s="13"/>
      <c r="PJC2" s="13"/>
      <c r="PJD2" s="13"/>
      <c r="PJE2" s="13"/>
      <c r="PJF2" s="13"/>
      <c r="PJG2" s="13"/>
      <c r="PJH2" s="13"/>
      <c r="PJI2" s="13"/>
      <c r="PJJ2" s="13"/>
      <c r="PJK2" s="13"/>
      <c r="PJL2" s="13"/>
      <c r="PJM2" s="13"/>
      <c r="PJN2" s="13"/>
      <c r="PJO2" s="13"/>
      <c r="PJP2" s="13"/>
      <c r="PJQ2" s="13"/>
      <c r="PJR2" s="13"/>
      <c r="PJS2" s="13"/>
      <c r="PJT2" s="13"/>
      <c r="PJU2" s="13"/>
      <c r="PJV2" s="13"/>
      <c r="PJW2" s="13"/>
      <c r="PJX2" s="13"/>
      <c r="PJY2" s="13"/>
      <c r="PJZ2" s="13"/>
      <c r="PKA2" s="13"/>
      <c r="PKB2" s="13"/>
      <c r="PKC2" s="13"/>
      <c r="PKD2" s="13"/>
      <c r="PKE2" s="13"/>
      <c r="PKF2" s="13"/>
      <c r="PKG2" s="13"/>
      <c r="PKH2" s="13"/>
      <c r="PKI2" s="13"/>
      <c r="PKJ2" s="13"/>
      <c r="PKK2" s="13"/>
      <c r="PKL2" s="13"/>
      <c r="PKM2" s="13"/>
      <c r="PKN2" s="13"/>
      <c r="PKO2" s="13"/>
      <c r="PKP2" s="13"/>
      <c r="PKQ2" s="13"/>
      <c r="PKR2" s="13"/>
      <c r="PKS2" s="13"/>
      <c r="PKT2" s="13"/>
      <c r="PKU2" s="13"/>
      <c r="PKV2" s="13"/>
      <c r="PKW2" s="13"/>
      <c r="PKX2" s="13"/>
      <c r="PKY2" s="13"/>
      <c r="PKZ2" s="13"/>
      <c r="PLA2" s="13"/>
      <c r="PLB2" s="13"/>
      <c r="PLC2" s="13"/>
      <c r="PLD2" s="13"/>
      <c r="PLE2" s="13"/>
      <c r="PLF2" s="13"/>
      <c r="PLG2" s="13"/>
      <c r="PLH2" s="13"/>
      <c r="PLI2" s="13"/>
      <c r="PLJ2" s="13"/>
      <c r="PLK2" s="13"/>
      <c r="PLL2" s="13"/>
      <c r="PLM2" s="13"/>
      <c r="PLN2" s="13"/>
      <c r="PLO2" s="13"/>
      <c r="PLP2" s="13"/>
      <c r="PLQ2" s="13"/>
      <c r="PLR2" s="13"/>
      <c r="PLS2" s="13"/>
      <c r="PLT2" s="13"/>
      <c r="PLU2" s="13"/>
      <c r="PLV2" s="13"/>
      <c r="PLW2" s="13"/>
      <c r="PLX2" s="13"/>
      <c r="PLY2" s="13"/>
      <c r="PLZ2" s="13"/>
      <c r="PMA2" s="13"/>
      <c r="PMB2" s="13"/>
      <c r="PMC2" s="13"/>
      <c r="PMD2" s="13"/>
      <c r="PME2" s="13"/>
      <c r="PMF2" s="13"/>
      <c r="PMG2" s="13"/>
      <c r="PMH2" s="13"/>
      <c r="PMI2" s="13"/>
      <c r="PMJ2" s="13"/>
      <c r="PMK2" s="13"/>
      <c r="PML2" s="13"/>
      <c r="PMM2" s="13"/>
      <c r="PMN2" s="13"/>
      <c r="PMO2" s="13"/>
      <c r="PMP2" s="13"/>
      <c r="PMQ2" s="13"/>
      <c r="PMR2" s="13"/>
      <c r="PMS2" s="13"/>
      <c r="PMT2" s="13"/>
      <c r="PMU2" s="13"/>
      <c r="PMV2" s="13"/>
      <c r="PMW2" s="13"/>
      <c r="PMX2" s="13"/>
      <c r="PMY2" s="13"/>
      <c r="PMZ2" s="13"/>
      <c r="PNA2" s="13"/>
      <c r="PNB2" s="13"/>
      <c r="PNC2" s="13"/>
      <c r="PND2" s="13"/>
      <c r="PNE2" s="13"/>
      <c r="PNF2" s="13"/>
      <c r="PNG2" s="13"/>
      <c r="PNH2" s="13"/>
      <c r="PNI2" s="13"/>
      <c r="PNJ2" s="13"/>
      <c r="PNK2" s="13"/>
      <c r="PNL2" s="13"/>
      <c r="PNM2" s="13"/>
      <c r="PNN2" s="13"/>
      <c r="PNO2" s="13"/>
      <c r="PNP2" s="13"/>
      <c r="PNQ2" s="13"/>
      <c r="PNR2" s="13"/>
      <c r="PNS2" s="13"/>
      <c r="PNT2" s="13"/>
      <c r="PNU2" s="13"/>
      <c r="PNV2" s="13"/>
      <c r="PNW2" s="13"/>
      <c r="PNX2" s="13"/>
      <c r="PNY2" s="13"/>
      <c r="PNZ2" s="13"/>
      <c r="POA2" s="13"/>
      <c r="POB2" s="13"/>
      <c r="POC2" s="13"/>
      <c r="POD2" s="13"/>
      <c r="POE2" s="13"/>
      <c r="POF2" s="13"/>
      <c r="POG2" s="13"/>
      <c r="POH2" s="13"/>
      <c r="POI2" s="13"/>
      <c r="POJ2" s="13"/>
      <c r="POK2" s="13"/>
      <c r="POL2" s="13"/>
      <c r="POM2" s="13"/>
      <c r="PON2" s="13"/>
      <c r="POO2" s="13"/>
      <c r="POP2" s="13"/>
      <c r="POQ2" s="13"/>
      <c r="POR2" s="13"/>
      <c r="POS2" s="13"/>
      <c r="POT2" s="13"/>
      <c r="POU2" s="13"/>
      <c r="POV2" s="13"/>
      <c r="POW2" s="13"/>
      <c r="POX2" s="13"/>
      <c r="POY2" s="13"/>
      <c r="POZ2" s="13"/>
      <c r="PPA2" s="13"/>
      <c r="PPB2" s="13"/>
      <c r="PPC2" s="13"/>
      <c r="PPD2" s="13"/>
      <c r="PPE2" s="13"/>
      <c r="PPF2" s="13"/>
      <c r="PPG2" s="13"/>
      <c r="PPH2" s="13"/>
      <c r="PPI2" s="13"/>
      <c r="PPJ2" s="13"/>
      <c r="PPK2" s="13"/>
      <c r="PPL2" s="13"/>
      <c r="PPM2" s="13"/>
      <c r="PPN2" s="13"/>
      <c r="PPO2" s="13"/>
      <c r="PPP2" s="13"/>
      <c r="PPQ2" s="13"/>
      <c r="PPR2" s="13"/>
      <c r="PPS2" s="13"/>
      <c r="PPT2" s="13"/>
      <c r="PPU2" s="13"/>
      <c r="PPV2" s="13"/>
      <c r="PPW2" s="13"/>
      <c r="PPX2" s="13"/>
      <c r="PPY2" s="13"/>
      <c r="PPZ2" s="13"/>
      <c r="PQA2" s="13"/>
      <c r="PQB2" s="13"/>
      <c r="PQC2" s="13"/>
      <c r="PQD2" s="13"/>
      <c r="PQE2" s="13"/>
      <c r="PQF2" s="13"/>
      <c r="PQG2" s="13"/>
      <c r="PQH2" s="13"/>
      <c r="PQI2" s="13"/>
      <c r="PQJ2" s="13"/>
      <c r="PQK2" s="13"/>
      <c r="PQL2" s="13"/>
      <c r="PQM2" s="13"/>
      <c r="PQN2" s="13"/>
      <c r="PQO2" s="13"/>
      <c r="PQP2" s="13"/>
      <c r="PQQ2" s="13"/>
      <c r="PQR2" s="13"/>
      <c r="PQS2" s="13"/>
      <c r="PQT2" s="13"/>
      <c r="PQU2" s="13"/>
      <c r="PQV2" s="13"/>
      <c r="PQW2" s="13"/>
      <c r="PQX2" s="13"/>
      <c r="PQY2" s="13"/>
      <c r="PQZ2" s="13"/>
      <c r="PRA2" s="13"/>
      <c r="PRB2" s="13"/>
      <c r="PRC2" s="13"/>
      <c r="PRD2" s="13"/>
      <c r="PRE2" s="13"/>
      <c r="PRF2" s="13"/>
      <c r="PRG2" s="13"/>
      <c r="PRH2" s="13"/>
      <c r="PRI2" s="13"/>
      <c r="PRJ2" s="13"/>
      <c r="PRK2" s="13"/>
      <c r="PRL2" s="13"/>
      <c r="PRM2" s="13"/>
      <c r="PRN2" s="13"/>
      <c r="PRO2" s="13"/>
      <c r="PRP2" s="13"/>
      <c r="PRQ2" s="13"/>
      <c r="PRR2" s="13"/>
      <c r="PRS2" s="13"/>
      <c r="PRT2" s="13"/>
      <c r="PRU2" s="13"/>
      <c r="PRV2" s="13"/>
      <c r="PRW2" s="13"/>
      <c r="PRX2" s="13"/>
      <c r="PRY2" s="13"/>
      <c r="PRZ2" s="13"/>
      <c r="PSA2" s="13"/>
      <c r="PSB2" s="13"/>
      <c r="PSC2" s="13"/>
      <c r="PSD2" s="13"/>
      <c r="PSE2" s="13"/>
      <c r="PSF2" s="13"/>
      <c r="PSG2" s="13"/>
      <c r="PSH2" s="13"/>
      <c r="PSI2" s="13"/>
      <c r="PSJ2" s="13"/>
      <c r="PSK2" s="13"/>
      <c r="PSL2" s="13"/>
      <c r="PSM2" s="13"/>
      <c r="PSN2" s="13"/>
      <c r="PSO2" s="13"/>
      <c r="PSP2" s="13"/>
      <c r="PSQ2" s="13"/>
      <c r="PSR2" s="13"/>
      <c r="PSS2" s="13"/>
      <c r="PST2" s="13"/>
      <c r="PSU2" s="13"/>
      <c r="PSV2" s="13"/>
      <c r="PSW2" s="13"/>
      <c r="PSX2" s="13"/>
      <c r="PSY2" s="13"/>
      <c r="PSZ2" s="13"/>
      <c r="PTA2" s="13"/>
      <c r="PTB2" s="13"/>
      <c r="PTC2" s="13"/>
      <c r="PTD2" s="13"/>
      <c r="PTE2" s="13"/>
      <c r="PTF2" s="13"/>
      <c r="PTG2" s="13"/>
      <c r="PTH2" s="13"/>
      <c r="PTI2" s="13"/>
      <c r="PTJ2" s="13"/>
      <c r="PTK2" s="13"/>
      <c r="PTL2" s="13"/>
      <c r="PTM2" s="13"/>
      <c r="PTN2" s="13"/>
      <c r="PTO2" s="13"/>
      <c r="PTP2" s="13"/>
      <c r="PTQ2" s="13"/>
      <c r="PTR2" s="13"/>
      <c r="PTS2" s="13"/>
      <c r="PTT2" s="13"/>
      <c r="PTU2" s="13"/>
      <c r="PTV2" s="13"/>
      <c r="PTW2" s="13"/>
      <c r="PTX2" s="13"/>
      <c r="PTY2" s="13"/>
      <c r="PTZ2" s="13"/>
      <c r="PUA2" s="13"/>
      <c r="PUB2" s="13"/>
      <c r="PUC2" s="13"/>
      <c r="PUD2" s="13"/>
      <c r="PUE2" s="13"/>
      <c r="PUF2" s="13"/>
      <c r="PUG2" s="13"/>
      <c r="PUH2" s="13"/>
      <c r="PUI2" s="13"/>
      <c r="PUJ2" s="13"/>
      <c r="PUK2" s="13"/>
      <c r="PUL2" s="13"/>
      <c r="PUM2" s="13"/>
      <c r="PUN2" s="13"/>
      <c r="PUO2" s="13"/>
      <c r="PUP2" s="13"/>
      <c r="PUQ2" s="13"/>
      <c r="PUR2" s="13"/>
      <c r="PUS2" s="13"/>
      <c r="PUT2" s="13"/>
      <c r="PUU2" s="13"/>
      <c r="PUV2" s="13"/>
      <c r="PUW2" s="13"/>
      <c r="PUX2" s="13"/>
      <c r="PUY2" s="13"/>
      <c r="PUZ2" s="13"/>
      <c r="PVA2" s="13"/>
      <c r="PVB2" s="13"/>
      <c r="PVC2" s="13"/>
      <c r="PVD2" s="13"/>
      <c r="PVE2" s="13"/>
      <c r="PVF2" s="13"/>
      <c r="PVG2" s="13"/>
      <c r="PVH2" s="13"/>
      <c r="PVI2" s="13"/>
      <c r="PVJ2" s="13"/>
      <c r="PVK2" s="13"/>
      <c r="PVL2" s="13"/>
      <c r="PVM2" s="13"/>
      <c r="PVN2" s="13"/>
      <c r="PVO2" s="13"/>
      <c r="PVP2" s="13"/>
      <c r="PVQ2" s="13"/>
      <c r="PVR2" s="13"/>
      <c r="PVS2" s="13"/>
      <c r="PVT2" s="13"/>
      <c r="PVU2" s="13"/>
      <c r="PVV2" s="13"/>
      <c r="PVW2" s="13"/>
      <c r="PVX2" s="13"/>
      <c r="PVY2" s="13"/>
      <c r="PVZ2" s="13"/>
      <c r="PWA2" s="13"/>
      <c r="PWB2" s="13"/>
      <c r="PWC2" s="13"/>
      <c r="PWD2" s="13"/>
      <c r="PWE2" s="13"/>
      <c r="PWF2" s="13"/>
      <c r="PWG2" s="13"/>
      <c r="PWH2" s="13"/>
      <c r="PWI2" s="13"/>
      <c r="PWJ2" s="13"/>
      <c r="PWK2" s="13"/>
      <c r="PWL2" s="13"/>
      <c r="PWM2" s="13"/>
      <c r="PWN2" s="13"/>
      <c r="PWO2" s="13"/>
      <c r="PWP2" s="13"/>
      <c r="PWQ2" s="13"/>
      <c r="PWR2" s="13"/>
      <c r="PWS2" s="13"/>
      <c r="PWT2" s="13"/>
      <c r="PWU2" s="13"/>
      <c r="PWV2" s="13"/>
      <c r="PWW2" s="13"/>
      <c r="PWX2" s="13"/>
      <c r="PWY2" s="13"/>
      <c r="PWZ2" s="13"/>
      <c r="PXA2" s="13"/>
      <c r="PXB2" s="13"/>
      <c r="PXC2" s="13"/>
      <c r="PXD2" s="13"/>
      <c r="PXE2" s="13"/>
      <c r="PXF2" s="13"/>
      <c r="PXG2" s="13"/>
      <c r="PXH2" s="13"/>
      <c r="PXI2" s="13"/>
      <c r="PXJ2" s="13"/>
      <c r="PXK2" s="13"/>
      <c r="PXL2" s="13"/>
      <c r="PXM2" s="13"/>
      <c r="PXN2" s="13"/>
      <c r="PXO2" s="13"/>
      <c r="PXP2" s="13"/>
      <c r="PXQ2" s="13"/>
      <c r="PXR2" s="13"/>
      <c r="PXS2" s="13"/>
      <c r="PXT2" s="13"/>
      <c r="PXU2" s="13"/>
      <c r="PXV2" s="13"/>
      <c r="PXW2" s="13"/>
      <c r="PXX2" s="13"/>
      <c r="PXY2" s="13"/>
      <c r="PXZ2" s="13"/>
      <c r="PYA2" s="13"/>
      <c r="PYB2" s="13"/>
      <c r="PYC2" s="13"/>
      <c r="PYD2" s="13"/>
      <c r="PYE2" s="13"/>
      <c r="PYF2" s="13"/>
      <c r="PYG2" s="13"/>
      <c r="PYH2" s="13"/>
      <c r="PYI2" s="13"/>
      <c r="PYJ2" s="13"/>
      <c r="PYK2" s="13"/>
      <c r="PYL2" s="13"/>
      <c r="PYM2" s="13"/>
      <c r="PYN2" s="13"/>
      <c r="PYO2" s="13"/>
      <c r="PYP2" s="13"/>
      <c r="PYQ2" s="13"/>
      <c r="PYR2" s="13"/>
      <c r="PYS2" s="13"/>
      <c r="PYT2" s="13"/>
      <c r="PYU2" s="13"/>
      <c r="PYV2" s="13"/>
      <c r="PYW2" s="13"/>
      <c r="PYX2" s="13"/>
      <c r="PYY2" s="13"/>
      <c r="PYZ2" s="13"/>
      <c r="PZA2" s="13"/>
      <c r="PZB2" s="13"/>
      <c r="PZC2" s="13"/>
      <c r="PZD2" s="13"/>
      <c r="PZE2" s="13"/>
      <c r="PZF2" s="13"/>
      <c r="PZG2" s="13"/>
      <c r="PZH2" s="13"/>
      <c r="PZI2" s="13"/>
      <c r="PZJ2" s="13"/>
      <c r="PZK2" s="13"/>
      <c r="PZL2" s="13"/>
      <c r="PZM2" s="13"/>
      <c r="PZN2" s="13"/>
      <c r="PZO2" s="13"/>
      <c r="PZP2" s="13"/>
      <c r="PZQ2" s="13"/>
      <c r="PZR2" s="13"/>
      <c r="PZS2" s="13"/>
      <c r="PZT2" s="13"/>
      <c r="PZU2" s="13"/>
      <c r="PZV2" s="13"/>
      <c r="PZW2" s="13"/>
      <c r="PZX2" s="13"/>
      <c r="PZY2" s="13"/>
      <c r="PZZ2" s="13"/>
      <c r="QAA2" s="13"/>
      <c r="QAB2" s="13"/>
      <c r="QAC2" s="13"/>
      <c r="QAD2" s="13"/>
      <c r="QAE2" s="13"/>
      <c r="QAF2" s="13"/>
      <c r="QAG2" s="13"/>
      <c r="QAH2" s="13"/>
      <c r="QAI2" s="13"/>
      <c r="QAJ2" s="13"/>
      <c r="QAK2" s="13"/>
      <c r="QAL2" s="13"/>
      <c r="QAM2" s="13"/>
      <c r="QAN2" s="13"/>
      <c r="QAO2" s="13"/>
      <c r="QAP2" s="13"/>
      <c r="QAQ2" s="13"/>
      <c r="QAR2" s="13"/>
      <c r="QAS2" s="13"/>
      <c r="QAT2" s="13"/>
      <c r="QAU2" s="13"/>
      <c r="QAV2" s="13"/>
      <c r="QAW2" s="13"/>
      <c r="QAX2" s="13"/>
      <c r="QAY2" s="13"/>
      <c r="QAZ2" s="13"/>
      <c r="QBA2" s="13"/>
      <c r="QBB2" s="13"/>
      <c r="QBC2" s="13"/>
      <c r="QBD2" s="13"/>
      <c r="QBE2" s="13"/>
      <c r="QBF2" s="13"/>
      <c r="QBG2" s="13"/>
      <c r="QBH2" s="13"/>
      <c r="QBI2" s="13"/>
      <c r="QBJ2" s="13"/>
      <c r="QBK2" s="13"/>
      <c r="QBL2" s="13"/>
      <c r="QBM2" s="13"/>
      <c r="QBN2" s="13"/>
      <c r="QBO2" s="13"/>
      <c r="QBP2" s="13"/>
      <c r="QBQ2" s="13"/>
      <c r="QBR2" s="13"/>
      <c r="QBS2" s="13"/>
      <c r="QBT2" s="13"/>
      <c r="QBU2" s="13"/>
      <c r="QBV2" s="13"/>
      <c r="QBW2" s="13"/>
      <c r="QBX2" s="13"/>
      <c r="QBY2" s="13"/>
      <c r="QBZ2" s="13"/>
      <c r="QCA2" s="13"/>
      <c r="QCB2" s="13"/>
      <c r="QCC2" s="13"/>
      <c r="QCD2" s="13"/>
      <c r="QCE2" s="13"/>
      <c r="QCF2" s="13"/>
      <c r="QCG2" s="13"/>
      <c r="QCH2" s="13"/>
      <c r="QCI2" s="13"/>
      <c r="QCJ2" s="13"/>
      <c r="QCK2" s="13"/>
      <c r="QCL2" s="13"/>
      <c r="QCM2" s="13"/>
      <c r="QCN2" s="13"/>
      <c r="QCO2" s="13"/>
      <c r="QCP2" s="13"/>
      <c r="QCQ2" s="13"/>
      <c r="QCR2" s="13"/>
      <c r="QCS2" s="13"/>
      <c r="QCT2" s="13"/>
      <c r="QCU2" s="13"/>
      <c r="QCV2" s="13"/>
      <c r="QCW2" s="13"/>
      <c r="QCX2" s="13"/>
      <c r="QCY2" s="13"/>
      <c r="QCZ2" s="13"/>
      <c r="QDA2" s="13"/>
      <c r="QDB2" s="13"/>
      <c r="QDC2" s="13"/>
      <c r="QDD2" s="13"/>
      <c r="QDE2" s="13"/>
      <c r="QDF2" s="13"/>
      <c r="QDG2" s="13"/>
      <c r="QDH2" s="13"/>
      <c r="QDI2" s="13"/>
      <c r="QDJ2" s="13"/>
      <c r="QDK2" s="13"/>
      <c r="QDL2" s="13"/>
      <c r="QDM2" s="13"/>
      <c r="QDN2" s="13"/>
      <c r="QDO2" s="13"/>
      <c r="QDP2" s="13"/>
      <c r="QDQ2" s="13"/>
      <c r="QDR2" s="13"/>
      <c r="QDS2" s="13"/>
      <c r="QDT2" s="13"/>
      <c r="QDU2" s="13"/>
      <c r="QDV2" s="13"/>
      <c r="QDW2" s="13"/>
      <c r="QDX2" s="13"/>
      <c r="QDY2" s="13"/>
      <c r="QDZ2" s="13"/>
      <c r="QEA2" s="13"/>
      <c r="QEB2" s="13"/>
      <c r="QEC2" s="13"/>
      <c r="QED2" s="13"/>
      <c r="QEE2" s="13"/>
      <c r="QEF2" s="13"/>
      <c r="QEG2" s="13"/>
      <c r="QEH2" s="13"/>
      <c r="QEI2" s="13"/>
      <c r="QEJ2" s="13"/>
      <c r="QEK2" s="13"/>
      <c r="QEL2" s="13"/>
      <c r="QEM2" s="13"/>
      <c r="QEN2" s="13"/>
      <c r="QEO2" s="13"/>
      <c r="QEP2" s="13"/>
      <c r="QEQ2" s="13"/>
      <c r="QER2" s="13"/>
      <c r="QES2" s="13"/>
      <c r="QET2" s="13"/>
      <c r="QEU2" s="13"/>
      <c r="QEV2" s="13"/>
      <c r="QEW2" s="13"/>
      <c r="QEX2" s="13"/>
      <c r="QEY2" s="13"/>
      <c r="QEZ2" s="13"/>
      <c r="QFA2" s="13"/>
      <c r="QFB2" s="13"/>
      <c r="QFC2" s="13"/>
      <c r="QFD2" s="13"/>
      <c r="QFE2" s="13"/>
      <c r="QFF2" s="13"/>
      <c r="QFG2" s="13"/>
      <c r="QFH2" s="13"/>
      <c r="QFI2" s="13"/>
      <c r="QFJ2" s="13"/>
      <c r="QFK2" s="13"/>
      <c r="QFL2" s="13"/>
      <c r="QFM2" s="13"/>
      <c r="QFN2" s="13"/>
      <c r="QFO2" s="13"/>
      <c r="QFP2" s="13"/>
      <c r="QFQ2" s="13"/>
      <c r="QFR2" s="13"/>
      <c r="QFS2" s="13"/>
      <c r="QFT2" s="13"/>
      <c r="QFU2" s="13"/>
      <c r="QFV2" s="13"/>
      <c r="QFW2" s="13"/>
      <c r="QFX2" s="13"/>
      <c r="QFY2" s="13"/>
      <c r="QFZ2" s="13"/>
      <c r="QGA2" s="13"/>
      <c r="QGB2" s="13"/>
      <c r="QGC2" s="13"/>
      <c r="QGD2" s="13"/>
      <c r="QGE2" s="13"/>
      <c r="QGF2" s="13"/>
      <c r="QGG2" s="13"/>
      <c r="QGH2" s="13"/>
      <c r="QGI2" s="13"/>
      <c r="QGJ2" s="13"/>
      <c r="QGK2" s="13"/>
      <c r="QGL2" s="13"/>
      <c r="QGM2" s="13"/>
      <c r="QGN2" s="13"/>
      <c r="QGO2" s="13"/>
      <c r="QGP2" s="13"/>
      <c r="QGQ2" s="13"/>
      <c r="QGR2" s="13"/>
      <c r="QGS2" s="13"/>
      <c r="QGT2" s="13"/>
      <c r="QGU2" s="13"/>
      <c r="QGV2" s="13"/>
      <c r="QGW2" s="13"/>
      <c r="QGX2" s="13"/>
      <c r="QGY2" s="13"/>
      <c r="QGZ2" s="13"/>
      <c r="QHA2" s="13"/>
      <c r="QHB2" s="13"/>
      <c r="QHC2" s="13"/>
      <c r="QHD2" s="13"/>
      <c r="QHE2" s="13"/>
      <c r="QHF2" s="13"/>
      <c r="QHG2" s="13"/>
      <c r="QHH2" s="13"/>
      <c r="QHI2" s="13"/>
      <c r="QHJ2" s="13"/>
      <c r="QHK2" s="13"/>
      <c r="QHL2" s="13"/>
      <c r="QHM2" s="13"/>
      <c r="QHN2" s="13"/>
      <c r="QHO2" s="13"/>
      <c r="QHP2" s="13"/>
      <c r="QHQ2" s="13"/>
      <c r="QHR2" s="13"/>
      <c r="QHS2" s="13"/>
      <c r="QHT2" s="13"/>
      <c r="QHU2" s="13"/>
      <c r="QHV2" s="13"/>
      <c r="QHW2" s="13"/>
      <c r="QHX2" s="13"/>
      <c r="QHY2" s="13"/>
      <c r="QHZ2" s="13"/>
      <c r="QIA2" s="13"/>
      <c r="QIB2" s="13"/>
      <c r="QIC2" s="13"/>
      <c r="QID2" s="13"/>
      <c r="QIE2" s="13"/>
      <c r="QIF2" s="13"/>
      <c r="QIG2" s="13"/>
      <c r="QIH2" s="13"/>
      <c r="QII2" s="13"/>
      <c r="QIJ2" s="13"/>
      <c r="QIK2" s="13"/>
      <c r="QIL2" s="13"/>
      <c r="QIM2" s="13"/>
      <c r="QIN2" s="13"/>
      <c r="QIO2" s="13"/>
      <c r="QIP2" s="13"/>
      <c r="QIQ2" s="13"/>
      <c r="QIR2" s="13"/>
      <c r="QIS2" s="13"/>
      <c r="QIT2" s="13"/>
      <c r="QIU2" s="13"/>
      <c r="QIV2" s="13"/>
      <c r="QIW2" s="13"/>
      <c r="QIX2" s="13"/>
      <c r="QIY2" s="13"/>
      <c r="QIZ2" s="13"/>
      <c r="QJA2" s="13"/>
      <c r="QJB2" s="13"/>
      <c r="QJC2" s="13"/>
      <c r="QJD2" s="13"/>
      <c r="QJE2" s="13"/>
      <c r="QJF2" s="13"/>
      <c r="QJG2" s="13"/>
      <c r="QJH2" s="13"/>
      <c r="QJI2" s="13"/>
      <c r="QJJ2" s="13"/>
      <c r="QJK2" s="13"/>
      <c r="QJL2" s="13"/>
      <c r="QJM2" s="13"/>
      <c r="QJN2" s="13"/>
      <c r="QJO2" s="13"/>
      <c r="QJP2" s="13"/>
      <c r="QJQ2" s="13"/>
      <c r="QJR2" s="13"/>
      <c r="QJS2" s="13"/>
      <c r="QJT2" s="13"/>
      <c r="QJU2" s="13"/>
      <c r="QJV2" s="13"/>
      <c r="QJW2" s="13"/>
      <c r="QJX2" s="13"/>
      <c r="QJY2" s="13"/>
      <c r="QJZ2" s="13"/>
      <c r="QKA2" s="13"/>
      <c r="QKB2" s="13"/>
      <c r="QKC2" s="13"/>
      <c r="QKD2" s="13"/>
      <c r="QKE2" s="13"/>
      <c r="QKF2" s="13"/>
      <c r="QKG2" s="13"/>
      <c r="QKH2" s="13"/>
      <c r="QKI2" s="13"/>
      <c r="QKJ2" s="13"/>
      <c r="QKK2" s="13"/>
      <c r="QKL2" s="13"/>
      <c r="QKM2" s="13"/>
      <c r="QKN2" s="13"/>
      <c r="QKO2" s="13"/>
      <c r="QKP2" s="13"/>
      <c r="QKQ2" s="13"/>
      <c r="QKR2" s="13"/>
      <c r="QKS2" s="13"/>
      <c r="QKT2" s="13"/>
      <c r="QKU2" s="13"/>
      <c r="QKV2" s="13"/>
      <c r="QKW2" s="13"/>
      <c r="QKX2" s="13"/>
      <c r="QKY2" s="13"/>
      <c r="QKZ2" s="13"/>
      <c r="QLA2" s="13"/>
      <c r="QLB2" s="13"/>
      <c r="QLC2" s="13"/>
      <c r="QLD2" s="13"/>
      <c r="QLE2" s="13"/>
      <c r="QLF2" s="13"/>
      <c r="QLG2" s="13"/>
      <c r="QLH2" s="13"/>
      <c r="QLI2" s="13"/>
      <c r="QLJ2" s="13"/>
      <c r="QLK2" s="13"/>
      <c r="QLL2" s="13"/>
      <c r="QLM2" s="13"/>
      <c r="QLN2" s="13"/>
      <c r="QLO2" s="13"/>
      <c r="QLP2" s="13"/>
      <c r="QLQ2" s="13"/>
      <c r="QLR2" s="13"/>
      <c r="QLS2" s="13"/>
      <c r="QLT2" s="13"/>
      <c r="QLU2" s="13"/>
      <c r="QLV2" s="13"/>
      <c r="QLW2" s="13"/>
      <c r="QLX2" s="13"/>
      <c r="QLY2" s="13"/>
      <c r="QLZ2" s="13"/>
      <c r="QMA2" s="13"/>
      <c r="QMB2" s="13"/>
      <c r="QMC2" s="13"/>
      <c r="QMD2" s="13"/>
      <c r="QME2" s="13"/>
      <c r="QMF2" s="13"/>
      <c r="QMG2" s="13"/>
      <c r="QMH2" s="13"/>
      <c r="QMI2" s="13"/>
      <c r="QMJ2" s="13"/>
      <c r="QMK2" s="13"/>
      <c r="QML2" s="13"/>
      <c r="QMM2" s="13"/>
      <c r="QMN2" s="13"/>
      <c r="QMO2" s="13"/>
      <c r="QMP2" s="13"/>
      <c r="QMQ2" s="13"/>
      <c r="QMR2" s="13"/>
      <c r="QMS2" s="13"/>
      <c r="QMT2" s="13"/>
      <c r="QMU2" s="13"/>
      <c r="QMV2" s="13"/>
      <c r="QMW2" s="13"/>
      <c r="QMX2" s="13"/>
      <c r="QMY2" s="13"/>
      <c r="QMZ2" s="13"/>
      <c r="QNA2" s="13"/>
      <c r="QNB2" s="13"/>
      <c r="QNC2" s="13"/>
      <c r="QND2" s="13"/>
      <c r="QNE2" s="13"/>
      <c r="QNF2" s="13"/>
      <c r="QNG2" s="13"/>
      <c r="QNH2" s="13"/>
      <c r="QNI2" s="13"/>
      <c r="QNJ2" s="13"/>
      <c r="QNK2" s="13"/>
      <c r="QNL2" s="13"/>
      <c r="QNM2" s="13"/>
      <c r="QNN2" s="13"/>
      <c r="QNO2" s="13"/>
      <c r="QNP2" s="13"/>
      <c r="QNQ2" s="13"/>
      <c r="QNR2" s="13"/>
      <c r="QNS2" s="13"/>
      <c r="QNT2" s="13"/>
      <c r="QNU2" s="13"/>
      <c r="QNV2" s="13"/>
      <c r="QNW2" s="13"/>
      <c r="QNX2" s="13"/>
      <c r="QNY2" s="13"/>
      <c r="QNZ2" s="13"/>
      <c r="QOA2" s="13"/>
      <c r="QOB2" s="13"/>
      <c r="QOC2" s="13"/>
      <c r="QOD2" s="13"/>
      <c r="QOE2" s="13"/>
      <c r="QOF2" s="13"/>
      <c r="QOG2" s="13"/>
      <c r="QOH2" s="13"/>
      <c r="QOI2" s="13"/>
      <c r="QOJ2" s="13"/>
      <c r="QOK2" s="13"/>
      <c r="QOL2" s="13"/>
      <c r="QOM2" s="13"/>
      <c r="QON2" s="13"/>
      <c r="QOO2" s="13"/>
      <c r="QOP2" s="13"/>
      <c r="QOQ2" s="13"/>
      <c r="QOR2" s="13"/>
      <c r="QOS2" s="13"/>
      <c r="QOT2" s="13"/>
      <c r="QOU2" s="13"/>
      <c r="QOV2" s="13"/>
      <c r="QOW2" s="13"/>
      <c r="QOX2" s="13"/>
      <c r="QOY2" s="13"/>
      <c r="QOZ2" s="13"/>
      <c r="QPA2" s="13"/>
      <c r="QPB2" s="13"/>
      <c r="QPC2" s="13"/>
      <c r="QPD2" s="13"/>
      <c r="QPE2" s="13"/>
      <c r="QPF2" s="13"/>
      <c r="QPG2" s="13"/>
      <c r="QPH2" s="13"/>
      <c r="QPI2" s="13"/>
      <c r="QPJ2" s="13"/>
      <c r="QPK2" s="13"/>
      <c r="QPL2" s="13"/>
      <c r="QPM2" s="13"/>
      <c r="QPN2" s="13"/>
      <c r="QPO2" s="13"/>
      <c r="QPP2" s="13"/>
      <c r="QPQ2" s="13"/>
      <c r="QPR2" s="13"/>
      <c r="QPS2" s="13"/>
      <c r="QPT2" s="13"/>
      <c r="QPU2" s="13"/>
      <c r="QPV2" s="13"/>
      <c r="QPW2" s="13"/>
      <c r="QPX2" s="13"/>
      <c r="QPY2" s="13"/>
      <c r="QPZ2" s="13"/>
      <c r="QQA2" s="13"/>
      <c r="QQB2" s="13"/>
      <c r="QQC2" s="13"/>
      <c r="QQD2" s="13"/>
      <c r="QQE2" s="13"/>
      <c r="QQF2" s="13"/>
      <c r="QQG2" s="13"/>
      <c r="QQH2" s="13"/>
      <c r="QQI2" s="13"/>
      <c r="QQJ2" s="13"/>
      <c r="QQK2" s="13"/>
      <c r="QQL2" s="13"/>
      <c r="QQM2" s="13"/>
      <c r="QQN2" s="13"/>
      <c r="QQO2" s="13"/>
      <c r="QQP2" s="13"/>
      <c r="QQQ2" s="13"/>
      <c r="QQR2" s="13"/>
      <c r="QQS2" s="13"/>
      <c r="QQT2" s="13"/>
      <c r="QQU2" s="13"/>
      <c r="QQV2" s="13"/>
      <c r="QQW2" s="13"/>
      <c r="QQX2" s="13"/>
      <c r="QQY2" s="13"/>
      <c r="QQZ2" s="13"/>
      <c r="QRA2" s="13"/>
      <c r="QRB2" s="13"/>
      <c r="QRC2" s="13"/>
      <c r="QRD2" s="13"/>
      <c r="QRE2" s="13"/>
      <c r="QRF2" s="13"/>
      <c r="QRG2" s="13"/>
      <c r="QRH2" s="13"/>
      <c r="QRI2" s="13"/>
      <c r="QRJ2" s="13"/>
      <c r="QRK2" s="13"/>
      <c r="QRL2" s="13"/>
      <c r="QRM2" s="13"/>
      <c r="QRN2" s="13"/>
      <c r="QRO2" s="13"/>
      <c r="QRP2" s="13"/>
      <c r="QRQ2" s="13"/>
      <c r="QRR2" s="13"/>
      <c r="QRS2" s="13"/>
      <c r="QRT2" s="13"/>
      <c r="QRU2" s="13"/>
      <c r="QRV2" s="13"/>
      <c r="QRW2" s="13"/>
      <c r="QRX2" s="13"/>
      <c r="QRY2" s="13"/>
      <c r="QRZ2" s="13"/>
      <c r="QSA2" s="13"/>
      <c r="QSB2" s="13"/>
      <c r="QSC2" s="13"/>
      <c r="QSD2" s="13"/>
      <c r="QSE2" s="13"/>
      <c r="QSF2" s="13"/>
      <c r="QSG2" s="13"/>
      <c r="QSH2" s="13"/>
      <c r="QSI2" s="13"/>
      <c r="QSJ2" s="13"/>
      <c r="QSK2" s="13"/>
      <c r="QSL2" s="13"/>
      <c r="QSM2" s="13"/>
      <c r="QSN2" s="13"/>
      <c r="QSO2" s="13"/>
      <c r="QSP2" s="13"/>
      <c r="QSQ2" s="13"/>
      <c r="QSR2" s="13"/>
      <c r="QSS2" s="13"/>
      <c r="QST2" s="13"/>
      <c r="QSU2" s="13"/>
      <c r="QSV2" s="13"/>
      <c r="QSW2" s="13"/>
      <c r="QSX2" s="13"/>
      <c r="QSY2" s="13"/>
      <c r="QSZ2" s="13"/>
      <c r="QTA2" s="13"/>
      <c r="QTB2" s="13"/>
      <c r="QTC2" s="13"/>
      <c r="QTD2" s="13"/>
      <c r="QTE2" s="13"/>
      <c r="QTF2" s="13"/>
      <c r="QTG2" s="13"/>
      <c r="QTH2" s="13"/>
      <c r="QTI2" s="13"/>
      <c r="QTJ2" s="13"/>
      <c r="QTK2" s="13"/>
      <c r="QTL2" s="13"/>
      <c r="QTM2" s="13"/>
      <c r="QTN2" s="13"/>
      <c r="QTO2" s="13"/>
      <c r="QTP2" s="13"/>
      <c r="QTQ2" s="13"/>
      <c r="QTR2" s="13"/>
      <c r="QTS2" s="13"/>
      <c r="QTT2" s="13"/>
      <c r="QTU2" s="13"/>
      <c r="QTV2" s="13"/>
      <c r="QTW2" s="13"/>
      <c r="QTX2" s="13"/>
      <c r="QTY2" s="13"/>
      <c r="QTZ2" s="13"/>
      <c r="QUA2" s="13"/>
      <c r="QUB2" s="13"/>
      <c r="QUC2" s="13"/>
      <c r="QUD2" s="13"/>
      <c r="QUE2" s="13"/>
      <c r="QUF2" s="13"/>
      <c r="QUG2" s="13"/>
      <c r="QUH2" s="13"/>
      <c r="QUI2" s="13"/>
      <c r="QUJ2" s="13"/>
      <c r="QUK2" s="13"/>
      <c r="QUL2" s="13"/>
      <c r="QUM2" s="13"/>
      <c r="QUN2" s="13"/>
      <c r="QUO2" s="13"/>
      <c r="QUP2" s="13"/>
      <c r="QUQ2" s="13"/>
      <c r="QUR2" s="13"/>
      <c r="QUS2" s="13"/>
      <c r="QUT2" s="13"/>
      <c r="QUU2" s="13"/>
      <c r="QUV2" s="13"/>
      <c r="QUW2" s="13"/>
      <c r="QUX2" s="13"/>
      <c r="QUY2" s="13"/>
      <c r="QUZ2" s="13"/>
      <c r="QVA2" s="13"/>
      <c r="QVB2" s="13"/>
      <c r="QVC2" s="13"/>
      <c r="QVD2" s="13"/>
      <c r="QVE2" s="13"/>
      <c r="QVF2" s="13"/>
      <c r="QVG2" s="13"/>
      <c r="QVH2" s="13"/>
      <c r="QVI2" s="13"/>
      <c r="QVJ2" s="13"/>
      <c r="QVK2" s="13"/>
      <c r="QVL2" s="13"/>
      <c r="QVM2" s="13"/>
      <c r="QVN2" s="13"/>
      <c r="QVO2" s="13"/>
      <c r="QVP2" s="13"/>
      <c r="QVQ2" s="13"/>
      <c r="QVR2" s="13"/>
      <c r="QVS2" s="13"/>
      <c r="QVT2" s="13"/>
      <c r="QVU2" s="13"/>
      <c r="QVV2" s="13"/>
      <c r="QVW2" s="13"/>
      <c r="QVX2" s="13"/>
      <c r="QVY2" s="13"/>
      <c r="QVZ2" s="13"/>
      <c r="QWA2" s="13"/>
      <c r="QWB2" s="13"/>
      <c r="QWC2" s="13"/>
      <c r="QWD2" s="13"/>
      <c r="QWE2" s="13"/>
      <c r="QWF2" s="13"/>
      <c r="QWG2" s="13"/>
      <c r="QWH2" s="13"/>
      <c r="QWI2" s="13"/>
      <c r="QWJ2" s="13"/>
      <c r="QWK2" s="13"/>
      <c r="QWL2" s="13"/>
      <c r="QWM2" s="13"/>
      <c r="QWN2" s="13"/>
      <c r="QWO2" s="13"/>
      <c r="QWP2" s="13"/>
      <c r="QWQ2" s="13"/>
      <c r="QWR2" s="13"/>
      <c r="QWS2" s="13"/>
      <c r="QWT2" s="13"/>
      <c r="QWU2" s="13"/>
      <c r="QWV2" s="13"/>
      <c r="QWW2" s="13"/>
      <c r="QWX2" s="13"/>
      <c r="QWY2" s="13"/>
      <c r="QWZ2" s="13"/>
      <c r="QXA2" s="13"/>
      <c r="QXB2" s="13"/>
      <c r="QXC2" s="13"/>
      <c r="QXD2" s="13"/>
      <c r="QXE2" s="13"/>
      <c r="QXF2" s="13"/>
      <c r="QXG2" s="13"/>
      <c r="QXH2" s="13"/>
      <c r="QXI2" s="13"/>
      <c r="QXJ2" s="13"/>
      <c r="QXK2" s="13"/>
      <c r="QXL2" s="13"/>
      <c r="QXM2" s="13"/>
      <c r="QXN2" s="13"/>
      <c r="QXO2" s="13"/>
      <c r="QXP2" s="13"/>
      <c r="QXQ2" s="13"/>
      <c r="QXR2" s="13"/>
      <c r="QXS2" s="13"/>
      <c r="QXT2" s="13"/>
      <c r="QXU2" s="13"/>
      <c r="QXV2" s="13"/>
      <c r="QXW2" s="13"/>
      <c r="QXX2" s="13"/>
      <c r="QXY2" s="13"/>
      <c r="QXZ2" s="13"/>
      <c r="QYA2" s="13"/>
      <c r="QYB2" s="13"/>
      <c r="QYC2" s="13"/>
      <c r="QYD2" s="13"/>
      <c r="QYE2" s="13"/>
      <c r="QYF2" s="13"/>
      <c r="QYG2" s="13"/>
      <c r="QYH2" s="13"/>
      <c r="QYI2" s="13"/>
      <c r="QYJ2" s="13"/>
      <c r="QYK2" s="13"/>
      <c r="QYL2" s="13"/>
      <c r="QYM2" s="13"/>
      <c r="QYN2" s="13"/>
      <c r="QYO2" s="13"/>
      <c r="QYP2" s="13"/>
      <c r="QYQ2" s="13"/>
      <c r="QYR2" s="13"/>
      <c r="QYS2" s="13"/>
      <c r="QYT2" s="13"/>
      <c r="QYU2" s="13"/>
      <c r="QYV2" s="13"/>
      <c r="QYW2" s="13"/>
      <c r="QYX2" s="13"/>
      <c r="QYY2" s="13"/>
      <c r="QYZ2" s="13"/>
      <c r="QZA2" s="13"/>
      <c r="QZB2" s="13"/>
      <c r="QZC2" s="13"/>
      <c r="QZD2" s="13"/>
      <c r="QZE2" s="13"/>
      <c r="QZF2" s="13"/>
      <c r="QZG2" s="13"/>
      <c r="QZH2" s="13"/>
      <c r="QZI2" s="13"/>
      <c r="QZJ2" s="13"/>
      <c r="QZK2" s="13"/>
      <c r="QZL2" s="13"/>
      <c r="QZM2" s="13"/>
      <c r="QZN2" s="13"/>
      <c r="QZO2" s="13"/>
      <c r="QZP2" s="13"/>
      <c r="QZQ2" s="13"/>
      <c r="QZR2" s="13"/>
      <c r="QZS2" s="13"/>
      <c r="QZT2" s="13"/>
      <c r="QZU2" s="13"/>
      <c r="QZV2" s="13"/>
      <c r="QZW2" s="13"/>
      <c r="QZX2" s="13"/>
      <c r="QZY2" s="13"/>
      <c r="QZZ2" s="13"/>
      <c r="RAA2" s="13"/>
      <c r="RAB2" s="13"/>
      <c r="RAC2" s="13"/>
      <c r="RAD2" s="13"/>
      <c r="RAE2" s="13"/>
      <c r="RAF2" s="13"/>
      <c r="RAG2" s="13"/>
      <c r="RAH2" s="13"/>
      <c r="RAI2" s="13"/>
      <c r="RAJ2" s="13"/>
      <c r="RAK2" s="13"/>
      <c r="RAL2" s="13"/>
      <c r="RAM2" s="13"/>
      <c r="RAN2" s="13"/>
      <c r="RAO2" s="13"/>
      <c r="RAP2" s="13"/>
      <c r="RAQ2" s="13"/>
      <c r="RAR2" s="13"/>
      <c r="RAS2" s="13"/>
      <c r="RAT2" s="13"/>
      <c r="RAU2" s="13"/>
      <c r="RAV2" s="13"/>
      <c r="RAW2" s="13"/>
      <c r="RAX2" s="13"/>
      <c r="RAY2" s="13"/>
      <c r="RAZ2" s="13"/>
      <c r="RBA2" s="13"/>
      <c r="RBB2" s="13"/>
      <c r="RBC2" s="13"/>
      <c r="RBD2" s="13"/>
      <c r="RBE2" s="13"/>
      <c r="RBF2" s="13"/>
      <c r="RBG2" s="13"/>
      <c r="RBH2" s="13"/>
      <c r="RBI2" s="13"/>
      <c r="RBJ2" s="13"/>
      <c r="RBK2" s="13"/>
      <c r="RBL2" s="13"/>
      <c r="RBM2" s="13"/>
      <c r="RBN2" s="13"/>
      <c r="RBO2" s="13"/>
      <c r="RBP2" s="13"/>
      <c r="RBQ2" s="13"/>
      <c r="RBR2" s="13"/>
      <c r="RBS2" s="13"/>
      <c r="RBT2" s="13"/>
      <c r="RBU2" s="13"/>
      <c r="RBV2" s="13"/>
      <c r="RBW2" s="13"/>
      <c r="RBX2" s="13"/>
      <c r="RBY2" s="13"/>
      <c r="RBZ2" s="13"/>
      <c r="RCA2" s="13"/>
      <c r="RCB2" s="13"/>
      <c r="RCC2" s="13"/>
      <c r="RCD2" s="13"/>
      <c r="RCE2" s="13"/>
      <c r="RCF2" s="13"/>
      <c r="RCG2" s="13"/>
      <c r="RCH2" s="13"/>
      <c r="RCI2" s="13"/>
      <c r="RCJ2" s="13"/>
      <c r="RCK2" s="13"/>
      <c r="RCL2" s="13"/>
      <c r="RCM2" s="13"/>
      <c r="RCN2" s="13"/>
      <c r="RCO2" s="13"/>
      <c r="RCP2" s="13"/>
      <c r="RCQ2" s="13"/>
      <c r="RCR2" s="13"/>
      <c r="RCS2" s="13"/>
      <c r="RCT2" s="13"/>
      <c r="RCU2" s="13"/>
      <c r="RCV2" s="13"/>
      <c r="RCW2" s="13"/>
      <c r="RCX2" s="13"/>
      <c r="RCY2" s="13"/>
      <c r="RCZ2" s="13"/>
      <c r="RDA2" s="13"/>
      <c r="RDB2" s="13"/>
      <c r="RDC2" s="13"/>
      <c r="RDD2" s="13"/>
      <c r="RDE2" s="13"/>
      <c r="RDF2" s="13"/>
      <c r="RDG2" s="13"/>
      <c r="RDH2" s="13"/>
      <c r="RDI2" s="13"/>
      <c r="RDJ2" s="13"/>
      <c r="RDK2" s="13"/>
      <c r="RDL2" s="13"/>
      <c r="RDM2" s="13"/>
      <c r="RDN2" s="13"/>
      <c r="RDO2" s="13"/>
      <c r="RDP2" s="13"/>
      <c r="RDQ2" s="13"/>
      <c r="RDR2" s="13"/>
      <c r="RDS2" s="13"/>
      <c r="RDT2" s="13"/>
      <c r="RDU2" s="13"/>
      <c r="RDV2" s="13"/>
      <c r="RDW2" s="13"/>
      <c r="RDX2" s="13"/>
      <c r="RDY2" s="13"/>
      <c r="RDZ2" s="13"/>
      <c r="REA2" s="13"/>
      <c r="REB2" s="13"/>
      <c r="REC2" s="13"/>
      <c r="RED2" s="13"/>
      <c r="REE2" s="13"/>
      <c r="REF2" s="13"/>
      <c r="REG2" s="13"/>
      <c r="REH2" s="13"/>
      <c r="REI2" s="13"/>
      <c r="REJ2" s="13"/>
      <c r="REK2" s="13"/>
      <c r="REL2" s="13"/>
      <c r="REM2" s="13"/>
      <c r="REN2" s="13"/>
      <c r="REO2" s="13"/>
      <c r="REP2" s="13"/>
      <c r="REQ2" s="13"/>
      <c r="RER2" s="13"/>
      <c r="RES2" s="13"/>
      <c r="RET2" s="13"/>
      <c r="REU2" s="13"/>
      <c r="REV2" s="13"/>
      <c r="REW2" s="13"/>
      <c r="REX2" s="13"/>
      <c r="REY2" s="13"/>
      <c r="REZ2" s="13"/>
      <c r="RFA2" s="13"/>
      <c r="RFB2" s="13"/>
      <c r="RFC2" s="13"/>
      <c r="RFD2" s="13"/>
      <c r="RFE2" s="13"/>
      <c r="RFF2" s="13"/>
      <c r="RFG2" s="13"/>
      <c r="RFH2" s="13"/>
      <c r="RFI2" s="13"/>
      <c r="RFJ2" s="13"/>
      <c r="RFK2" s="13"/>
      <c r="RFL2" s="13"/>
      <c r="RFM2" s="13"/>
      <c r="RFN2" s="13"/>
      <c r="RFO2" s="13"/>
      <c r="RFP2" s="13"/>
      <c r="RFQ2" s="13"/>
      <c r="RFR2" s="13"/>
      <c r="RFS2" s="13"/>
      <c r="RFT2" s="13"/>
      <c r="RFU2" s="13"/>
      <c r="RFV2" s="13"/>
      <c r="RFW2" s="13"/>
      <c r="RFX2" s="13"/>
      <c r="RFY2" s="13"/>
      <c r="RFZ2" s="13"/>
      <c r="RGA2" s="13"/>
      <c r="RGB2" s="13"/>
      <c r="RGC2" s="13"/>
      <c r="RGD2" s="13"/>
      <c r="RGE2" s="13"/>
      <c r="RGF2" s="13"/>
      <c r="RGG2" s="13"/>
      <c r="RGH2" s="13"/>
      <c r="RGI2" s="13"/>
      <c r="RGJ2" s="13"/>
      <c r="RGK2" s="13"/>
      <c r="RGL2" s="13"/>
      <c r="RGM2" s="13"/>
      <c r="RGN2" s="13"/>
      <c r="RGO2" s="13"/>
      <c r="RGP2" s="13"/>
      <c r="RGQ2" s="13"/>
      <c r="RGR2" s="13"/>
      <c r="RGS2" s="13"/>
      <c r="RGT2" s="13"/>
      <c r="RGU2" s="13"/>
      <c r="RGV2" s="13"/>
      <c r="RGW2" s="13"/>
      <c r="RGX2" s="13"/>
      <c r="RGY2" s="13"/>
      <c r="RGZ2" s="13"/>
      <c r="RHA2" s="13"/>
      <c r="RHB2" s="13"/>
      <c r="RHC2" s="13"/>
      <c r="RHD2" s="13"/>
      <c r="RHE2" s="13"/>
      <c r="RHF2" s="13"/>
      <c r="RHG2" s="13"/>
      <c r="RHH2" s="13"/>
      <c r="RHI2" s="13"/>
      <c r="RHJ2" s="13"/>
      <c r="RHK2" s="13"/>
      <c r="RHL2" s="13"/>
      <c r="RHM2" s="13"/>
      <c r="RHN2" s="13"/>
      <c r="RHO2" s="13"/>
      <c r="RHP2" s="13"/>
      <c r="RHQ2" s="13"/>
      <c r="RHR2" s="13"/>
      <c r="RHS2" s="13"/>
      <c r="RHT2" s="13"/>
      <c r="RHU2" s="13"/>
      <c r="RHV2" s="13"/>
      <c r="RHW2" s="13"/>
      <c r="RHX2" s="13"/>
      <c r="RHY2" s="13"/>
      <c r="RHZ2" s="13"/>
      <c r="RIA2" s="13"/>
      <c r="RIB2" s="13"/>
      <c r="RIC2" s="13"/>
      <c r="RID2" s="13"/>
      <c r="RIE2" s="13"/>
      <c r="RIF2" s="13"/>
      <c r="RIG2" s="13"/>
      <c r="RIH2" s="13"/>
      <c r="RII2" s="13"/>
      <c r="RIJ2" s="13"/>
      <c r="RIK2" s="13"/>
      <c r="RIL2" s="13"/>
      <c r="RIM2" s="13"/>
      <c r="RIN2" s="13"/>
      <c r="RIO2" s="13"/>
      <c r="RIP2" s="13"/>
      <c r="RIQ2" s="13"/>
      <c r="RIR2" s="13"/>
      <c r="RIS2" s="13"/>
      <c r="RIT2" s="13"/>
      <c r="RIU2" s="13"/>
      <c r="RIV2" s="13"/>
      <c r="RIW2" s="13"/>
      <c r="RIX2" s="13"/>
      <c r="RIY2" s="13"/>
      <c r="RIZ2" s="13"/>
      <c r="RJA2" s="13"/>
      <c r="RJB2" s="13"/>
      <c r="RJC2" s="13"/>
      <c r="RJD2" s="13"/>
      <c r="RJE2" s="13"/>
      <c r="RJF2" s="13"/>
      <c r="RJG2" s="13"/>
      <c r="RJH2" s="13"/>
      <c r="RJI2" s="13"/>
      <c r="RJJ2" s="13"/>
      <c r="RJK2" s="13"/>
      <c r="RJL2" s="13"/>
      <c r="RJM2" s="13"/>
      <c r="RJN2" s="13"/>
      <c r="RJO2" s="13"/>
      <c r="RJP2" s="13"/>
      <c r="RJQ2" s="13"/>
      <c r="RJR2" s="13"/>
      <c r="RJS2" s="13"/>
      <c r="RJT2" s="13"/>
      <c r="RJU2" s="13"/>
      <c r="RJV2" s="13"/>
      <c r="RJW2" s="13"/>
      <c r="RJX2" s="13"/>
      <c r="RJY2" s="13"/>
      <c r="RJZ2" s="13"/>
      <c r="RKA2" s="13"/>
      <c r="RKB2" s="13"/>
      <c r="RKC2" s="13"/>
      <c r="RKD2" s="13"/>
      <c r="RKE2" s="13"/>
      <c r="RKF2" s="13"/>
      <c r="RKG2" s="13"/>
      <c r="RKH2" s="13"/>
      <c r="RKI2" s="13"/>
      <c r="RKJ2" s="13"/>
      <c r="RKK2" s="13"/>
      <c r="RKL2" s="13"/>
      <c r="RKM2" s="13"/>
      <c r="RKN2" s="13"/>
      <c r="RKO2" s="13"/>
      <c r="RKP2" s="13"/>
      <c r="RKQ2" s="13"/>
      <c r="RKR2" s="13"/>
      <c r="RKS2" s="13"/>
      <c r="RKT2" s="13"/>
      <c r="RKU2" s="13"/>
      <c r="RKV2" s="13"/>
      <c r="RKW2" s="13"/>
      <c r="RKX2" s="13"/>
      <c r="RKY2" s="13"/>
      <c r="RKZ2" s="13"/>
      <c r="RLA2" s="13"/>
      <c r="RLB2" s="13"/>
      <c r="RLC2" s="13"/>
      <c r="RLD2" s="13"/>
      <c r="RLE2" s="13"/>
      <c r="RLF2" s="13"/>
      <c r="RLG2" s="13"/>
      <c r="RLH2" s="13"/>
      <c r="RLI2" s="13"/>
      <c r="RLJ2" s="13"/>
      <c r="RLK2" s="13"/>
      <c r="RLL2" s="13"/>
      <c r="RLM2" s="13"/>
      <c r="RLN2" s="13"/>
      <c r="RLO2" s="13"/>
      <c r="RLP2" s="13"/>
      <c r="RLQ2" s="13"/>
      <c r="RLR2" s="13"/>
      <c r="RLS2" s="13"/>
      <c r="RLT2" s="13"/>
      <c r="RLU2" s="13"/>
      <c r="RLV2" s="13"/>
      <c r="RLW2" s="13"/>
      <c r="RLX2" s="13"/>
      <c r="RLY2" s="13"/>
      <c r="RLZ2" s="13"/>
      <c r="RMA2" s="13"/>
      <c r="RMB2" s="13"/>
      <c r="RMC2" s="13"/>
      <c r="RMD2" s="13"/>
      <c r="RME2" s="13"/>
      <c r="RMF2" s="13"/>
      <c r="RMG2" s="13"/>
      <c r="RMH2" s="13"/>
      <c r="RMI2" s="13"/>
      <c r="RMJ2" s="13"/>
      <c r="RMK2" s="13"/>
      <c r="RML2" s="13"/>
      <c r="RMM2" s="13"/>
      <c r="RMN2" s="13"/>
      <c r="RMO2" s="13"/>
      <c r="RMP2" s="13"/>
      <c r="RMQ2" s="13"/>
      <c r="RMR2" s="13"/>
      <c r="RMS2" s="13"/>
      <c r="RMT2" s="13"/>
      <c r="RMU2" s="13"/>
      <c r="RMV2" s="13"/>
      <c r="RMW2" s="13"/>
      <c r="RMX2" s="13"/>
      <c r="RMY2" s="13"/>
      <c r="RMZ2" s="13"/>
      <c r="RNA2" s="13"/>
      <c r="RNB2" s="13"/>
      <c r="RNC2" s="13"/>
      <c r="RND2" s="13"/>
      <c r="RNE2" s="13"/>
      <c r="RNF2" s="13"/>
      <c r="RNG2" s="13"/>
      <c r="RNH2" s="13"/>
      <c r="RNI2" s="13"/>
      <c r="RNJ2" s="13"/>
      <c r="RNK2" s="13"/>
      <c r="RNL2" s="13"/>
      <c r="RNM2" s="13"/>
      <c r="RNN2" s="13"/>
      <c r="RNO2" s="13"/>
      <c r="RNP2" s="13"/>
      <c r="RNQ2" s="13"/>
      <c r="RNR2" s="13"/>
      <c r="RNS2" s="13"/>
      <c r="RNT2" s="13"/>
      <c r="RNU2" s="13"/>
      <c r="RNV2" s="13"/>
      <c r="RNW2" s="13"/>
      <c r="RNX2" s="13"/>
      <c r="RNY2" s="13"/>
      <c r="RNZ2" s="13"/>
      <c r="ROA2" s="13"/>
      <c r="ROB2" s="13"/>
      <c r="ROC2" s="13"/>
      <c r="ROD2" s="13"/>
      <c r="ROE2" s="13"/>
      <c r="ROF2" s="13"/>
      <c r="ROG2" s="13"/>
      <c r="ROH2" s="13"/>
      <c r="ROI2" s="13"/>
      <c r="ROJ2" s="13"/>
      <c r="ROK2" s="13"/>
      <c r="ROL2" s="13"/>
      <c r="ROM2" s="13"/>
      <c r="RON2" s="13"/>
      <c r="ROO2" s="13"/>
      <c r="ROP2" s="13"/>
      <c r="ROQ2" s="13"/>
      <c r="ROR2" s="13"/>
      <c r="ROS2" s="13"/>
      <c r="ROT2" s="13"/>
      <c r="ROU2" s="13"/>
      <c r="ROV2" s="13"/>
      <c r="ROW2" s="13"/>
      <c r="ROX2" s="13"/>
      <c r="ROY2" s="13"/>
      <c r="ROZ2" s="13"/>
      <c r="RPA2" s="13"/>
      <c r="RPB2" s="13"/>
      <c r="RPC2" s="13"/>
      <c r="RPD2" s="13"/>
      <c r="RPE2" s="13"/>
      <c r="RPF2" s="13"/>
      <c r="RPG2" s="13"/>
      <c r="RPH2" s="13"/>
      <c r="RPI2" s="13"/>
      <c r="RPJ2" s="13"/>
      <c r="RPK2" s="13"/>
      <c r="RPL2" s="13"/>
      <c r="RPM2" s="13"/>
      <c r="RPN2" s="13"/>
      <c r="RPO2" s="13"/>
      <c r="RPP2" s="13"/>
      <c r="RPQ2" s="13"/>
      <c r="RPR2" s="13"/>
      <c r="RPS2" s="13"/>
      <c r="RPT2" s="13"/>
      <c r="RPU2" s="13"/>
      <c r="RPV2" s="13"/>
      <c r="RPW2" s="13"/>
      <c r="RPX2" s="13"/>
      <c r="RPY2" s="13"/>
      <c r="RPZ2" s="13"/>
      <c r="RQA2" s="13"/>
      <c r="RQB2" s="13"/>
      <c r="RQC2" s="13"/>
      <c r="RQD2" s="13"/>
      <c r="RQE2" s="13"/>
      <c r="RQF2" s="13"/>
      <c r="RQG2" s="13"/>
      <c r="RQH2" s="13"/>
      <c r="RQI2" s="13"/>
      <c r="RQJ2" s="13"/>
      <c r="RQK2" s="13"/>
      <c r="RQL2" s="13"/>
      <c r="RQM2" s="13"/>
      <c r="RQN2" s="13"/>
      <c r="RQO2" s="13"/>
      <c r="RQP2" s="13"/>
      <c r="RQQ2" s="13"/>
      <c r="RQR2" s="13"/>
      <c r="RQS2" s="13"/>
      <c r="RQT2" s="13"/>
      <c r="RQU2" s="13"/>
      <c r="RQV2" s="13"/>
      <c r="RQW2" s="13"/>
      <c r="RQX2" s="13"/>
      <c r="RQY2" s="13"/>
      <c r="RQZ2" s="13"/>
      <c r="RRA2" s="13"/>
      <c r="RRB2" s="13"/>
      <c r="RRC2" s="13"/>
      <c r="RRD2" s="13"/>
      <c r="RRE2" s="13"/>
      <c r="RRF2" s="13"/>
      <c r="RRG2" s="13"/>
      <c r="RRH2" s="13"/>
      <c r="RRI2" s="13"/>
      <c r="RRJ2" s="13"/>
      <c r="RRK2" s="13"/>
      <c r="RRL2" s="13"/>
      <c r="RRM2" s="13"/>
      <c r="RRN2" s="13"/>
      <c r="RRO2" s="13"/>
      <c r="RRP2" s="13"/>
      <c r="RRQ2" s="13"/>
      <c r="RRR2" s="13"/>
      <c r="RRS2" s="13"/>
      <c r="RRT2" s="13"/>
      <c r="RRU2" s="13"/>
      <c r="RRV2" s="13"/>
      <c r="RRW2" s="13"/>
      <c r="RRX2" s="13"/>
      <c r="RRY2" s="13"/>
      <c r="RRZ2" s="13"/>
      <c r="RSA2" s="13"/>
      <c r="RSB2" s="13"/>
      <c r="RSC2" s="13"/>
      <c r="RSD2" s="13"/>
      <c r="RSE2" s="13"/>
      <c r="RSF2" s="13"/>
      <c r="RSG2" s="13"/>
      <c r="RSH2" s="13"/>
      <c r="RSI2" s="13"/>
      <c r="RSJ2" s="13"/>
      <c r="RSK2" s="13"/>
      <c r="RSL2" s="13"/>
      <c r="RSM2" s="13"/>
      <c r="RSN2" s="13"/>
      <c r="RSO2" s="13"/>
      <c r="RSP2" s="13"/>
      <c r="RSQ2" s="13"/>
      <c r="RSR2" s="13"/>
      <c r="RSS2" s="13"/>
      <c r="RST2" s="13"/>
      <c r="RSU2" s="13"/>
      <c r="RSV2" s="13"/>
      <c r="RSW2" s="13"/>
      <c r="RSX2" s="13"/>
      <c r="RSY2" s="13"/>
      <c r="RSZ2" s="13"/>
      <c r="RTA2" s="13"/>
      <c r="RTB2" s="13"/>
      <c r="RTC2" s="13"/>
      <c r="RTD2" s="13"/>
      <c r="RTE2" s="13"/>
      <c r="RTF2" s="13"/>
      <c r="RTG2" s="13"/>
      <c r="RTH2" s="13"/>
      <c r="RTI2" s="13"/>
      <c r="RTJ2" s="13"/>
      <c r="RTK2" s="13"/>
      <c r="RTL2" s="13"/>
      <c r="RTM2" s="13"/>
      <c r="RTN2" s="13"/>
      <c r="RTO2" s="13"/>
      <c r="RTP2" s="13"/>
      <c r="RTQ2" s="13"/>
      <c r="RTR2" s="13"/>
      <c r="RTS2" s="13"/>
      <c r="RTT2" s="13"/>
      <c r="RTU2" s="13"/>
      <c r="RTV2" s="13"/>
      <c r="RTW2" s="13"/>
      <c r="RTX2" s="13"/>
      <c r="RTY2" s="13"/>
      <c r="RTZ2" s="13"/>
      <c r="RUA2" s="13"/>
      <c r="RUB2" s="13"/>
      <c r="RUC2" s="13"/>
      <c r="RUD2" s="13"/>
      <c r="RUE2" s="13"/>
      <c r="RUF2" s="13"/>
      <c r="RUG2" s="13"/>
      <c r="RUH2" s="13"/>
      <c r="RUI2" s="13"/>
      <c r="RUJ2" s="13"/>
      <c r="RUK2" s="13"/>
      <c r="RUL2" s="13"/>
      <c r="RUM2" s="13"/>
      <c r="RUN2" s="13"/>
      <c r="RUO2" s="13"/>
      <c r="RUP2" s="13"/>
      <c r="RUQ2" s="13"/>
      <c r="RUR2" s="13"/>
      <c r="RUS2" s="13"/>
      <c r="RUT2" s="13"/>
      <c r="RUU2" s="13"/>
      <c r="RUV2" s="13"/>
      <c r="RUW2" s="13"/>
      <c r="RUX2" s="13"/>
      <c r="RUY2" s="13"/>
      <c r="RUZ2" s="13"/>
      <c r="RVA2" s="13"/>
      <c r="RVB2" s="13"/>
      <c r="RVC2" s="13"/>
      <c r="RVD2" s="13"/>
      <c r="RVE2" s="13"/>
      <c r="RVF2" s="13"/>
      <c r="RVG2" s="13"/>
      <c r="RVH2" s="13"/>
      <c r="RVI2" s="13"/>
      <c r="RVJ2" s="13"/>
      <c r="RVK2" s="13"/>
      <c r="RVL2" s="13"/>
      <c r="RVM2" s="13"/>
      <c r="RVN2" s="13"/>
      <c r="RVO2" s="13"/>
      <c r="RVP2" s="13"/>
      <c r="RVQ2" s="13"/>
      <c r="RVR2" s="13"/>
      <c r="RVS2" s="13"/>
      <c r="RVT2" s="13"/>
      <c r="RVU2" s="13"/>
      <c r="RVV2" s="13"/>
      <c r="RVW2" s="13"/>
      <c r="RVX2" s="13"/>
      <c r="RVY2" s="13"/>
      <c r="RVZ2" s="13"/>
      <c r="RWA2" s="13"/>
      <c r="RWB2" s="13"/>
      <c r="RWC2" s="13"/>
      <c r="RWD2" s="13"/>
      <c r="RWE2" s="13"/>
      <c r="RWF2" s="13"/>
      <c r="RWG2" s="13"/>
      <c r="RWH2" s="13"/>
      <c r="RWI2" s="13"/>
      <c r="RWJ2" s="13"/>
      <c r="RWK2" s="13"/>
      <c r="RWL2" s="13"/>
      <c r="RWM2" s="13"/>
      <c r="RWN2" s="13"/>
      <c r="RWO2" s="13"/>
      <c r="RWP2" s="13"/>
      <c r="RWQ2" s="13"/>
      <c r="RWR2" s="13"/>
      <c r="RWS2" s="13"/>
      <c r="RWT2" s="13"/>
      <c r="RWU2" s="13"/>
      <c r="RWV2" s="13"/>
      <c r="RWW2" s="13"/>
      <c r="RWX2" s="13"/>
      <c r="RWY2" s="13"/>
      <c r="RWZ2" s="13"/>
      <c r="RXA2" s="13"/>
      <c r="RXB2" s="13"/>
      <c r="RXC2" s="13"/>
      <c r="RXD2" s="13"/>
      <c r="RXE2" s="13"/>
      <c r="RXF2" s="13"/>
      <c r="RXG2" s="13"/>
      <c r="RXH2" s="13"/>
      <c r="RXI2" s="13"/>
      <c r="RXJ2" s="13"/>
      <c r="RXK2" s="13"/>
      <c r="RXL2" s="13"/>
      <c r="RXM2" s="13"/>
      <c r="RXN2" s="13"/>
      <c r="RXO2" s="13"/>
      <c r="RXP2" s="13"/>
      <c r="RXQ2" s="13"/>
      <c r="RXR2" s="13"/>
      <c r="RXS2" s="13"/>
      <c r="RXT2" s="13"/>
      <c r="RXU2" s="13"/>
      <c r="RXV2" s="13"/>
      <c r="RXW2" s="13"/>
      <c r="RXX2" s="13"/>
      <c r="RXY2" s="13"/>
      <c r="RXZ2" s="13"/>
      <c r="RYA2" s="13"/>
      <c r="RYB2" s="13"/>
      <c r="RYC2" s="13"/>
      <c r="RYD2" s="13"/>
      <c r="RYE2" s="13"/>
      <c r="RYF2" s="13"/>
      <c r="RYG2" s="13"/>
      <c r="RYH2" s="13"/>
      <c r="RYI2" s="13"/>
      <c r="RYJ2" s="13"/>
      <c r="RYK2" s="13"/>
      <c r="RYL2" s="13"/>
      <c r="RYM2" s="13"/>
      <c r="RYN2" s="13"/>
      <c r="RYO2" s="13"/>
      <c r="RYP2" s="13"/>
      <c r="RYQ2" s="13"/>
      <c r="RYR2" s="13"/>
      <c r="RYS2" s="13"/>
      <c r="RYT2" s="13"/>
      <c r="RYU2" s="13"/>
      <c r="RYV2" s="13"/>
      <c r="RYW2" s="13"/>
      <c r="RYX2" s="13"/>
      <c r="RYY2" s="13"/>
      <c r="RYZ2" s="13"/>
      <c r="RZA2" s="13"/>
      <c r="RZB2" s="13"/>
      <c r="RZC2" s="13"/>
      <c r="RZD2" s="13"/>
      <c r="RZE2" s="13"/>
      <c r="RZF2" s="13"/>
      <c r="RZG2" s="13"/>
      <c r="RZH2" s="13"/>
      <c r="RZI2" s="13"/>
      <c r="RZJ2" s="13"/>
      <c r="RZK2" s="13"/>
      <c r="RZL2" s="13"/>
      <c r="RZM2" s="13"/>
      <c r="RZN2" s="13"/>
      <c r="RZO2" s="13"/>
      <c r="RZP2" s="13"/>
      <c r="RZQ2" s="13"/>
      <c r="RZR2" s="13"/>
      <c r="RZS2" s="13"/>
      <c r="RZT2" s="13"/>
      <c r="RZU2" s="13"/>
      <c r="RZV2" s="13"/>
      <c r="RZW2" s="13"/>
      <c r="RZX2" s="13"/>
      <c r="RZY2" s="13"/>
      <c r="RZZ2" s="13"/>
      <c r="SAA2" s="13"/>
      <c r="SAB2" s="13"/>
      <c r="SAC2" s="13"/>
      <c r="SAD2" s="13"/>
      <c r="SAE2" s="13"/>
      <c r="SAF2" s="13"/>
      <c r="SAG2" s="13"/>
      <c r="SAH2" s="13"/>
      <c r="SAI2" s="13"/>
      <c r="SAJ2" s="13"/>
      <c r="SAK2" s="13"/>
      <c r="SAL2" s="13"/>
      <c r="SAM2" s="13"/>
      <c r="SAN2" s="13"/>
      <c r="SAO2" s="13"/>
      <c r="SAP2" s="13"/>
      <c r="SAQ2" s="13"/>
      <c r="SAR2" s="13"/>
      <c r="SAS2" s="13"/>
      <c r="SAT2" s="13"/>
      <c r="SAU2" s="13"/>
      <c r="SAV2" s="13"/>
      <c r="SAW2" s="13"/>
      <c r="SAX2" s="13"/>
      <c r="SAY2" s="13"/>
      <c r="SAZ2" s="13"/>
      <c r="SBA2" s="13"/>
      <c r="SBB2" s="13"/>
      <c r="SBC2" s="13"/>
      <c r="SBD2" s="13"/>
      <c r="SBE2" s="13"/>
      <c r="SBF2" s="13"/>
      <c r="SBG2" s="13"/>
      <c r="SBH2" s="13"/>
      <c r="SBI2" s="13"/>
      <c r="SBJ2" s="13"/>
      <c r="SBK2" s="13"/>
      <c r="SBL2" s="13"/>
      <c r="SBM2" s="13"/>
      <c r="SBN2" s="13"/>
      <c r="SBO2" s="13"/>
      <c r="SBP2" s="13"/>
      <c r="SBQ2" s="13"/>
      <c r="SBR2" s="13"/>
      <c r="SBS2" s="13"/>
      <c r="SBT2" s="13"/>
      <c r="SBU2" s="13"/>
      <c r="SBV2" s="13"/>
      <c r="SBW2" s="13"/>
      <c r="SBX2" s="13"/>
      <c r="SBY2" s="13"/>
      <c r="SBZ2" s="13"/>
      <c r="SCA2" s="13"/>
      <c r="SCB2" s="13"/>
      <c r="SCC2" s="13"/>
      <c r="SCD2" s="13"/>
      <c r="SCE2" s="13"/>
      <c r="SCF2" s="13"/>
      <c r="SCG2" s="13"/>
      <c r="SCH2" s="13"/>
      <c r="SCI2" s="13"/>
      <c r="SCJ2" s="13"/>
      <c r="SCK2" s="13"/>
      <c r="SCL2" s="13"/>
      <c r="SCM2" s="13"/>
      <c r="SCN2" s="13"/>
      <c r="SCO2" s="13"/>
      <c r="SCP2" s="13"/>
      <c r="SCQ2" s="13"/>
      <c r="SCR2" s="13"/>
      <c r="SCS2" s="13"/>
      <c r="SCT2" s="13"/>
      <c r="SCU2" s="13"/>
      <c r="SCV2" s="13"/>
      <c r="SCW2" s="13"/>
      <c r="SCX2" s="13"/>
      <c r="SCY2" s="13"/>
      <c r="SCZ2" s="13"/>
      <c r="SDA2" s="13"/>
      <c r="SDB2" s="13"/>
      <c r="SDC2" s="13"/>
      <c r="SDD2" s="13"/>
      <c r="SDE2" s="13"/>
      <c r="SDF2" s="13"/>
      <c r="SDG2" s="13"/>
      <c r="SDH2" s="13"/>
      <c r="SDI2" s="13"/>
      <c r="SDJ2" s="13"/>
      <c r="SDK2" s="13"/>
      <c r="SDL2" s="13"/>
      <c r="SDM2" s="13"/>
      <c r="SDN2" s="13"/>
      <c r="SDO2" s="13"/>
      <c r="SDP2" s="13"/>
      <c r="SDQ2" s="13"/>
      <c r="SDR2" s="13"/>
      <c r="SDS2" s="13"/>
      <c r="SDT2" s="13"/>
      <c r="SDU2" s="13"/>
      <c r="SDV2" s="13"/>
      <c r="SDW2" s="13"/>
      <c r="SDX2" s="13"/>
      <c r="SDY2" s="13"/>
      <c r="SDZ2" s="13"/>
      <c r="SEA2" s="13"/>
      <c r="SEB2" s="13"/>
      <c r="SEC2" s="13"/>
      <c r="SED2" s="13"/>
      <c r="SEE2" s="13"/>
      <c r="SEF2" s="13"/>
      <c r="SEG2" s="13"/>
      <c r="SEH2" s="13"/>
      <c r="SEI2" s="13"/>
      <c r="SEJ2" s="13"/>
      <c r="SEK2" s="13"/>
      <c r="SEL2" s="13"/>
      <c r="SEM2" s="13"/>
      <c r="SEN2" s="13"/>
      <c r="SEO2" s="13"/>
      <c r="SEP2" s="13"/>
      <c r="SEQ2" s="13"/>
      <c r="SER2" s="13"/>
      <c r="SES2" s="13"/>
      <c r="SET2" s="13"/>
      <c r="SEU2" s="13"/>
      <c r="SEV2" s="13"/>
      <c r="SEW2" s="13"/>
      <c r="SEX2" s="13"/>
      <c r="SEY2" s="13"/>
      <c r="SEZ2" s="13"/>
      <c r="SFA2" s="13"/>
      <c r="SFB2" s="13"/>
      <c r="SFC2" s="13"/>
      <c r="SFD2" s="13"/>
      <c r="SFE2" s="13"/>
      <c r="SFF2" s="13"/>
      <c r="SFG2" s="13"/>
      <c r="SFH2" s="13"/>
      <c r="SFI2" s="13"/>
      <c r="SFJ2" s="13"/>
      <c r="SFK2" s="13"/>
      <c r="SFL2" s="13"/>
      <c r="SFM2" s="13"/>
      <c r="SFN2" s="13"/>
      <c r="SFO2" s="13"/>
      <c r="SFP2" s="13"/>
      <c r="SFQ2" s="13"/>
      <c r="SFR2" s="13"/>
      <c r="SFS2" s="13"/>
      <c r="SFT2" s="13"/>
      <c r="SFU2" s="13"/>
      <c r="SFV2" s="13"/>
      <c r="SFW2" s="13"/>
      <c r="SFX2" s="13"/>
      <c r="SFY2" s="13"/>
      <c r="SFZ2" s="13"/>
      <c r="SGA2" s="13"/>
      <c r="SGB2" s="13"/>
      <c r="SGC2" s="13"/>
      <c r="SGD2" s="13"/>
      <c r="SGE2" s="13"/>
      <c r="SGF2" s="13"/>
      <c r="SGG2" s="13"/>
      <c r="SGH2" s="13"/>
      <c r="SGI2" s="13"/>
      <c r="SGJ2" s="13"/>
      <c r="SGK2" s="13"/>
      <c r="SGL2" s="13"/>
      <c r="SGM2" s="13"/>
      <c r="SGN2" s="13"/>
      <c r="SGO2" s="13"/>
      <c r="SGP2" s="13"/>
      <c r="SGQ2" s="13"/>
      <c r="SGR2" s="13"/>
      <c r="SGS2" s="13"/>
      <c r="SGT2" s="13"/>
      <c r="SGU2" s="13"/>
      <c r="SGV2" s="13"/>
      <c r="SGW2" s="13"/>
      <c r="SGX2" s="13"/>
      <c r="SGY2" s="13"/>
      <c r="SGZ2" s="13"/>
      <c r="SHA2" s="13"/>
      <c r="SHB2" s="13"/>
      <c r="SHC2" s="13"/>
      <c r="SHD2" s="13"/>
      <c r="SHE2" s="13"/>
      <c r="SHF2" s="13"/>
      <c r="SHG2" s="13"/>
      <c r="SHH2" s="13"/>
      <c r="SHI2" s="13"/>
      <c r="SHJ2" s="13"/>
      <c r="SHK2" s="13"/>
      <c r="SHL2" s="13"/>
      <c r="SHM2" s="13"/>
      <c r="SHN2" s="13"/>
      <c r="SHO2" s="13"/>
      <c r="SHP2" s="13"/>
      <c r="SHQ2" s="13"/>
      <c r="SHR2" s="13"/>
      <c r="SHS2" s="13"/>
      <c r="SHT2" s="13"/>
      <c r="SHU2" s="13"/>
      <c r="SHV2" s="13"/>
      <c r="SHW2" s="13"/>
      <c r="SHX2" s="13"/>
      <c r="SHY2" s="13"/>
      <c r="SHZ2" s="13"/>
      <c r="SIA2" s="13"/>
      <c r="SIB2" s="13"/>
      <c r="SIC2" s="13"/>
      <c r="SID2" s="13"/>
      <c r="SIE2" s="13"/>
      <c r="SIF2" s="13"/>
      <c r="SIG2" s="13"/>
      <c r="SIH2" s="13"/>
      <c r="SII2" s="13"/>
      <c r="SIJ2" s="13"/>
      <c r="SIK2" s="13"/>
      <c r="SIL2" s="13"/>
      <c r="SIM2" s="13"/>
      <c r="SIN2" s="13"/>
      <c r="SIO2" s="13"/>
      <c r="SIP2" s="13"/>
      <c r="SIQ2" s="13"/>
      <c r="SIR2" s="13"/>
      <c r="SIS2" s="13"/>
      <c r="SIT2" s="13"/>
      <c r="SIU2" s="13"/>
      <c r="SIV2" s="13"/>
      <c r="SIW2" s="13"/>
      <c r="SIX2" s="13"/>
      <c r="SIY2" s="13"/>
      <c r="SIZ2" s="13"/>
      <c r="SJA2" s="13"/>
      <c r="SJB2" s="13"/>
      <c r="SJC2" s="13"/>
      <c r="SJD2" s="13"/>
      <c r="SJE2" s="13"/>
      <c r="SJF2" s="13"/>
      <c r="SJG2" s="13"/>
      <c r="SJH2" s="13"/>
      <c r="SJI2" s="13"/>
      <c r="SJJ2" s="13"/>
      <c r="SJK2" s="13"/>
      <c r="SJL2" s="13"/>
      <c r="SJM2" s="13"/>
      <c r="SJN2" s="13"/>
      <c r="SJO2" s="13"/>
      <c r="SJP2" s="13"/>
      <c r="SJQ2" s="13"/>
      <c r="SJR2" s="13"/>
      <c r="SJS2" s="13"/>
      <c r="SJT2" s="13"/>
      <c r="SJU2" s="13"/>
      <c r="SJV2" s="13"/>
      <c r="SJW2" s="13"/>
      <c r="SJX2" s="13"/>
      <c r="SJY2" s="13"/>
      <c r="SJZ2" s="13"/>
      <c r="SKA2" s="13"/>
      <c r="SKB2" s="13"/>
      <c r="SKC2" s="13"/>
      <c r="SKD2" s="13"/>
      <c r="SKE2" s="13"/>
      <c r="SKF2" s="13"/>
      <c r="SKG2" s="13"/>
      <c r="SKH2" s="13"/>
      <c r="SKI2" s="13"/>
      <c r="SKJ2" s="13"/>
      <c r="SKK2" s="13"/>
      <c r="SKL2" s="13"/>
      <c r="SKM2" s="13"/>
      <c r="SKN2" s="13"/>
      <c r="SKO2" s="13"/>
      <c r="SKP2" s="13"/>
      <c r="SKQ2" s="13"/>
      <c r="SKR2" s="13"/>
      <c r="SKS2" s="13"/>
      <c r="SKT2" s="13"/>
      <c r="SKU2" s="13"/>
      <c r="SKV2" s="13"/>
      <c r="SKW2" s="13"/>
      <c r="SKX2" s="13"/>
      <c r="SKY2" s="13"/>
      <c r="SKZ2" s="13"/>
      <c r="SLA2" s="13"/>
      <c r="SLB2" s="13"/>
      <c r="SLC2" s="13"/>
      <c r="SLD2" s="13"/>
      <c r="SLE2" s="13"/>
      <c r="SLF2" s="13"/>
      <c r="SLG2" s="13"/>
      <c r="SLH2" s="13"/>
      <c r="SLI2" s="13"/>
      <c r="SLJ2" s="13"/>
      <c r="SLK2" s="13"/>
      <c r="SLL2" s="13"/>
      <c r="SLM2" s="13"/>
      <c r="SLN2" s="13"/>
      <c r="SLO2" s="13"/>
      <c r="SLP2" s="13"/>
      <c r="SLQ2" s="13"/>
      <c r="SLR2" s="13"/>
      <c r="SLS2" s="13"/>
      <c r="SLT2" s="13"/>
      <c r="SLU2" s="13"/>
      <c r="SLV2" s="13"/>
      <c r="SLW2" s="13"/>
      <c r="SLX2" s="13"/>
      <c r="SLY2" s="13"/>
      <c r="SLZ2" s="13"/>
      <c r="SMA2" s="13"/>
      <c r="SMB2" s="13"/>
      <c r="SMC2" s="13"/>
      <c r="SMD2" s="13"/>
      <c r="SME2" s="13"/>
      <c r="SMF2" s="13"/>
      <c r="SMG2" s="13"/>
      <c r="SMH2" s="13"/>
      <c r="SMI2" s="13"/>
      <c r="SMJ2" s="13"/>
      <c r="SMK2" s="13"/>
      <c r="SML2" s="13"/>
      <c r="SMM2" s="13"/>
      <c r="SMN2" s="13"/>
      <c r="SMO2" s="13"/>
      <c r="SMP2" s="13"/>
      <c r="SMQ2" s="13"/>
      <c r="SMR2" s="13"/>
      <c r="SMS2" s="13"/>
      <c r="SMT2" s="13"/>
      <c r="SMU2" s="13"/>
      <c r="SMV2" s="13"/>
      <c r="SMW2" s="13"/>
      <c r="SMX2" s="13"/>
      <c r="SMY2" s="13"/>
      <c r="SMZ2" s="13"/>
      <c r="SNA2" s="13"/>
      <c r="SNB2" s="13"/>
      <c r="SNC2" s="13"/>
      <c r="SND2" s="13"/>
      <c r="SNE2" s="13"/>
      <c r="SNF2" s="13"/>
      <c r="SNG2" s="13"/>
      <c r="SNH2" s="13"/>
      <c r="SNI2" s="13"/>
      <c r="SNJ2" s="13"/>
      <c r="SNK2" s="13"/>
      <c r="SNL2" s="13"/>
      <c r="SNM2" s="13"/>
      <c r="SNN2" s="13"/>
      <c r="SNO2" s="13"/>
      <c r="SNP2" s="13"/>
      <c r="SNQ2" s="13"/>
      <c r="SNR2" s="13"/>
      <c r="SNS2" s="13"/>
      <c r="SNT2" s="13"/>
      <c r="SNU2" s="13"/>
      <c r="SNV2" s="13"/>
      <c r="SNW2" s="13"/>
      <c r="SNX2" s="13"/>
      <c r="SNY2" s="13"/>
      <c r="SNZ2" s="13"/>
      <c r="SOA2" s="13"/>
      <c r="SOB2" s="13"/>
      <c r="SOC2" s="13"/>
      <c r="SOD2" s="13"/>
      <c r="SOE2" s="13"/>
      <c r="SOF2" s="13"/>
      <c r="SOG2" s="13"/>
      <c r="SOH2" s="13"/>
      <c r="SOI2" s="13"/>
      <c r="SOJ2" s="13"/>
      <c r="SOK2" s="13"/>
      <c r="SOL2" s="13"/>
      <c r="SOM2" s="13"/>
      <c r="SON2" s="13"/>
      <c r="SOO2" s="13"/>
      <c r="SOP2" s="13"/>
      <c r="SOQ2" s="13"/>
      <c r="SOR2" s="13"/>
      <c r="SOS2" s="13"/>
      <c r="SOT2" s="13"/>
      <c r="SOU2" s="13"/>
      <c r="SOV2" s="13"/>
      <c r="SOW2" s="13"/>
      <c r="SOX2" s="13"/>
      <c r="SOY2" s="13"/>
      <c r="SOZ2" s="13"/>
      <c r="SPA2" s="13"/>
      <c r="SPB2" s="13"/>
      <c r="SPC2" s="13"/>
      <c r="SPD2" s="13"/>
      <c r="SPE2" s="13"/>
      <c r="SPF2" s="13"/>
      <c r="SPG2" s="13"/>
      <c r="SPH2" s="13"/>
      <c r="SPI2" s="13"/>
      <c r="SPJ2" s="13"/>
      <c r="SPK2" s="13"/>
      <c r="SPL2" s="13"/>
      <c r="SPM2" s="13"/>
      <c r="SPN2" s="13"/>
      <c r="SPO2" s="13"/>
      <c r="SPP2" s="13"/>
      <c r="SPQ2" s="13"/>
      <c r="SPR2" s="13"/>
      <c r="SPS2" s="13"/>
      <c r="SPT2" s="13"/>
      <c r="SPU2" s="13"/>
      <c r="SPV2" s="13"/>
      <c r="SPW2" s="13"/>
      <c r="SPX2" s="13"/>
      <c r="SPY2" s="13"/>
      <c r="SPZ2" s="13"/>
      <c r="SQA2" s="13"/>
      <c r="SQB2" s="13"/>
      <c r="SQC2" s="13"/>
      <c r="SQD2" s="13"/>
      <c r="SQE2" s="13"/>
      <c r="SQF2" s="13"/>
      <c r="SQG2" s="13"/>
      <c r="SQH2" s="13"/>
      <c r="SQI2" s="13"/>
      <c r="SQJ2" s="13"/>
      <c r="SQK2" s="13"/>
      <c r="SQL2" s="13"/>
      <c r="SQM2" s="13"/>
      <c r="SQN2" s="13"/>
      <c r="SQO2" s="13"/>
      <c r="SQP2" s="13"/>
      <c r="SQQ2" s="13"/>
      <c r="SQR2" s="13"/>
      <c r="SQS2" s="13"/>
      <c r="SQT2" s="13"/>
      <c r="SQU2" s="13"/>
      <c r="SQV2" s="13"/>
      <c r="SQW2" s="13"/>
      <c r="SQX2" s="13"/>
      <c r="SQY2" s="13"/>
      <c r="SQZ2" s="13"/>
      <c r="SRA2" s="13"/>
      <c r="SRB2" s="13"/>
      <c r="SRC2" s="13"/>
      <c r="SRD2" s="13"/>
      <c r="SRE2" s="13"/>
      <c r="SRF2" s="13"/>
      <c r="SRG2" s="13"/>
      <c r="SRH2" s="13"/>
      <c r="SRI2" s="13"/>
      <c r="SRJ2" s="13"/>
      <c r="SRK2" s="13"/>
      <c r="SRL2" s="13"/>
      <c r="SRM2" s="13"/>
      <c r="SRN2" s="13"/>
      <c r="SRO2" s="13"/>
      <c r="SRP2" s="13"/>
      <c r="SRQ2" s="13"/>
      <c r="SRR2" s="13"/>
      <c r="SRS2" s="13"/>
      <c r="SRT2" s="13"/>
      <c r="SRU2" s="13"/>
      <c r="SRV2" s="13"/>
      <c r="SRW2" s="13"/>
      <c r="SRX2" s="13"/>
      <c r="SRY2" s="13"/>
      <c r="SRZ2" s="13"/>
      <c r="SSA2" s="13"/>
      <c r="SSB2" s="13"/>
      <c r="SSC2" s="13"/>
      <c r="SSD2" s="13"/>
      <c r="SSE2" s="13"/>
      <c r="SSF2" s="13"/>
      <c r="SSG2" s="13"/>
      <c r="SSH2" s="13"/>
      <c r="SSI2" s="13"/>
      <c r="SSJ2" s="13"/>
      <c r="SSK2" s="13"/>
      <c r="SSL2" s="13"/>
      <c r="SSM2" s="13"/>
      <c r="SSN2" s="13"/>
      <c r="SSO2" s="13"/>
      <c r="SSP2" s="13"/>
      <c r="SSQ2" s="13"/>
      <c r="SSR2" s="13"/>
      <c r="SSS2" s="13"/>
      <c r="SST2" s="13"/>
      <c r="SSU2" s="13"/>
      <c r="SSV2" s="13"/>
      <c r="SSW2" s="13"/>
      <c r="SSX2" s="13"/>
      <c r="SSY2" s="13"/>
      <c r="SSZ2" s="13"/>
      <c r="STA2" s="13"/>
      <c r="STB2" s="13"/>
      <c r="STC2" s="13"/>
      <c r="STD2" s="13"/>
      <c r="STE2" s="13"/>
      <c r="STF2" s="13"/>
      <c r="STG2" s="13"/>
      <c r="STH2" s="13"/>
      <c r="STI2" s="13"/>
      <c r="STJ2" s="13"/>
      <c r="STK2" s="13"/>
      <c r="STL2" s="13"/>
      <c r="STM2" s="13"/>
      <c r="STN2" s="13"/>
      <c r="STO2" s="13"/>
      <c r="STP2" s="13"/>
      <c r="STQ2" s="13"/>
      <c r="STR2" s="13"/>
      <c r="STS2" s="13"/>
      <c r="STT2" s="13"/>
      <c r="STU2" s="13"/>
      <c r="STV2" s="13"/>
      <c r="STW2" s="13"/>
      <c r="STX2" s="13"/>
      <c r="STY2" s="13"/>
      <c r="STZ2" s="13"/>
      <c r="SUA2" s="13"/>
      <c r="SUB2" s="13"/>
      <c r="SUC2" s="13"/>
      <c r="SUD2" s="13"/>
      <c r="SUE2" s="13"/>
      <c r="SUF2" s="13"/>
      <c r="SUG2" s="13"/>
      <c r="SUH2" s="13"/>
      <c r="SUI2" s="13"/>
      <c r="SUJ2" s="13"/>
      <c r="SUK2" s="13"/>
      <c r="SUL2" s="13"/>
      <c r="SUM2" s="13"/>
      <c r="SUN2" s="13"/>
      <c r="SUO2" s="13"/>
      <c r="SUP2" s="13"/>
      <c r="SUQ2" s="13"/>
      <c r="SUR2" s="13"/>
      <c r="SUS2" s="13"/>
      <c r="SUT2" s="13"/>
      <c r="SUU2" s="13"/>
      <c r="SUV2" s="13"/>
      <c r="SUW2" s="13"/>
      <c r="SUX2" s="13"/>
      <c r="SUY2" s="13"/>
      <c r="SUZ2" s="13"/>
      <c r="SVA2" s="13"/>
      <c r="SVB2" s="13"/>
      <c r="SVC2" s="13"/>
      <c r="SVD2" s="13"/>
      <c r="SVE2" s="13"/>
      <c r="SVF2" s="13"/>
      <c r="SVG2" s="13"/>
      <c r="SVH2" s="13"/>
      <c r="SVI2" s="13"/>
      <c r="SVJ2" s="13"/>
      <c r="SVK2" s="13"/>
      <c r="SVL2" s="13"/>
      <c r="SVM2" s="13"/>
      <c r="SVN2" s="13"/>
      <c r="SVO2" s="13"/>
      <c r="SVP2" s="13"/>
      <c r="SVQ2" s="13"/>
      <c r="SVR2" s="13"/>
      <c r="SVS2" s="13"/>
      <c r="SVT2" s="13"/>
      <c r="SVU2" s="13"/>
      <c r="SVV2" s="13"/>
      <c r="SVW2" s="13"/>
      <c r="SVX2" s="13"/>
      <c r="SVY2" s="13"/>
      <c r="SVZ2" s="13"/>
      <c r="SWA2" s="13"/>
      <c r="SWB2" s="13"/>
      <c r="SWC2" s="13"/>
      <c r="SWD2" s="13"/>
      <c r="SWE2" s="13"/>
      <c r="SWF2" s="13"/>
      <c r="SWG2" s="13"/>
      <c r="SWH2" s="13"/>
      <c r="SWI2" s="13"/>
      <c r="SWJ2" s="13"/>
      <c r="SWK2" s="13"/>
      <c r="SWL2" s="13"/>
      <c r="SWM2" s="13"/>
      <c r="SWN2" s="13"/>
      <c r="SWO2" s="13"/>
      <c r="SWP2" s="13"/>
      <c r="SWQ2" s="13"/>
      <c r="SWR2" s="13"/>
      <c r="SWS2" s="13"/>
      <c r="SWT2" s="13"/>
      <c r="SWU2" s="13"/>
      <c r="SWV2" s="13"/>
      <c r="SWW2" s="13"/>
      <c r="SWX2" s="13"/>
      <c r="SWY2" s="13"/>
      <c r="SWZ2" s="13"/>
      <c r="SXA2" s="13"/>
      <c r="SXB2" s="13"/>
      <c r="SXC2" s="13"/>
      <c r="SXD2" s="13"/>
      <c r="SXE2" s="13"/>
      <c r="SXF2" s="13"/>
      <c r="SXG2" s="13"/>
      <c r="SXH2" s="13"/>
      <c r="SXI2" s="13"/>
      <c r="SXJ2" s="13"/>
      <c r="SXK2" s="13"/>
      <c r="SXL2" s="13"/>
      <c r="SXM2" s="13"/>
      <c r="SXN2" s="13"/>
      <c r="SXO2" s="13"/>
      <c r="SXP2" s="13"/>
      <c r="SXQ2" s="13"/>
      <c r="SXR2" s="13"/>
      <c r="SXS2" s="13"/>
      <c r="SXT2" s="13"/>
      <c r="SXU2" s="13"/>
      <c r="SXV2" s="13"/>
      <c r="SXW2" s="13"/>
      <c r="SXX2" s="13"/>
      <c r="SXY2" s="13"/>
      <c r="SXZ2" s="13"/>
      <c r="SYA2" s="13"/>
      <c r="SYB2" s="13"/>
      <c r="SYC2" s="13"/>
      <c r="SYD2" s="13"/>
      <c r="SYE2" s="13"/>
      <c r="SYF2" s="13"/>
      <c r="SYG2" s="13"/>
      <c r="SYH2" s="13"/>
      <c r="SYI2" s="13"/>
      <c r="SYJ2" s="13"/>
      <c r="SYK2" s="13"/>
      <c r="SYL2" s="13"/>
      <c r="SYM2" s="13"/>
      <c r="SYN2" s="13"/>
      <c r="SYO2" s="13"/>
      <c r="SYP2" s="13"/>
      <c r="SYQ2" s="13"/>
      <c r="SYR2" s="13"/>
      <c r="SYS2" s="13"/>
      <c r="SYT2" s="13"/>
      <c r="SYU2" s="13"/>
      <c r="SYV2" s="13"/>
      <c r="SYW2" s="13"/>
      <c r="SYX2" s="13"/>
      <c r="SYY2" s="13"/>
      <c r="SYZ2" s="13"/>
      <c r="SZA2" s="13"/>
      <c r="SZB2" s="13"/>
      <c r="SZC2" s="13"/>
      <c r="SZD2" s="13"/>
      <c r="SZE2" s="13"/>
      <c r="SZF2" s="13"/>
      <c r="SZG2" s="13"/>
      <c r="SZH2" s="13"/>
      <c r="SZI2" s="13"/>
      <c r="SZJ2" s="13"/>
      <c r="SZK2" s="13"/>
      <c r="SZL2" s="13"/>
      <c r="SZM2" s="13"/>
      <c r="SZN2" s="13"/>
      <c r="SZO2" s="13"/>
      <c r="SZP2" s="13"/>
      <c r="SZQ2" s="13"/>
      <c r="SZR2" s="13"/>
      <c r="SZS2" s="13"/>
      <c r="SZT2" s="13"/>
      <c r="SZU2" s="13"/>
      <c r="SZV2" s="13"/>
      <c r="SZW2" s="13"/>
      <c r="SZX2" s="13"/>
      <c r="SZY2" s="13"/>
      <c r="SZZ2" s="13"/>
      <c r="TAA2" s="13"/>
      <c r="TAB2" s="13"/>
      <c r="TAC2" s="13"/>
      <c r="TAD2" s="13"/>
      <c r="TAE2" s="13"/>
      <c r="TAF2" s="13"/>
      <c r="TAG2" s="13"/>
      <c r="TAH2" s="13"/>
      <c r="TAI2" s="13"/>
      <c r="TAJ2" s="13"/>
      <c r="TAK2" s="13"/>
      <c r="TAL2" s="13"/>
      <c r="TAM2" s="13"/>
      <c r="TAN2" s="13"/>
      <c r="TAO2" s="13"/>
      <c r="TAP2" s="13"/>
      <c r="TAQ2" s="13"/>
      <c r="TAR2" s="13"/>
      <c r="TAS2" s="13"/>
      <c r="TAT2" s="13"/>
      <c r="TAU2" s="13"/>
      <c r="TAV2" s="13"/>
      <c r="TAW2" s="13"/>
      <c r="TAX2" s="13"/>
      <c r="TAY2" s="13"/>
      <c r="TAZ2" s="13"/>
      <c r="TBA2" s="13"/>
      <c r="TBB2" s="13"/>
      <c r="TBC2" s="13"/>
      <c r="TBD2" s="13"/>
      <c r="TBE2" s="13"/>
      <c r="TBF2" s="13"/>
      <c r="TBG2" s="13"/>
      <c r="TBH2" s="13"/>
      <c r="TBI2" s="13"/>
      <c r="TBJ2" s="13"/>
      <c r="TBK2" s="13"/>
      <c r="TBL2" s="13"/>
      <c r="TBM2" s="13"/>
      <c r="TBN2" s="13"/>
      <c r="TBO2" s="13"/>
      <c r="TBP2" s="13"/>
      <c r="TBQ2" s="13"/>
      <c r="TBR2" s="13"/>
      <c r="TBS2" s="13"/>
      <c r="TBT2" s="13"/>
      <c r="TBU2" s="13"/>
      <c r="TBV2" s="13"/>
      <c r="TBW2" s="13"/>
      <c r="TBX2" s="13"/>
      <c r="TBY2" s="13"/>
      <c r="TBZ2" s="13"/>
      <c r="TCA2" s="13"/>
      <c r="TCB2" s="13"/>
      <c r="TCC2" s="13"/>
      <c r="TCD2" s="13"/>
      <c r="TCE2" s="13"/>
      <c r="TCF2" s="13"/>
      <c r="TCG2" s="13"/>
      <c r="TCH2" s="13"/>
      <c r="TCI2" s="13"/>
      <c r="TCJ2" s="13"/>
      <c r="TCK2" s="13"/>
      <c r="TCL2" s="13"/>
      <c r="TCM2" s="13"/>
      <c r="TCN2" s="13"/>
      <c r="TCO2" s="13"/>
      <c r="TCP2" s="13"/>
      <c r="TCQ2" s="13"/>
      <c r="TCR2" s="13"/>
      <c r="TCS2" s="13"/>
      <c r="TCT2" s="13"/>
      <c r="TCU2" s="13"/>
      <c r="TCV2" s="13"/>
      <c r="TCW2" s="13"/>
      <c r="TCX2" s="13"/>
      <c r="TCY2" s="13"/>
      <c r="TCZ2" s="13"/>
      <c r="TDA2" s="13"/>
      <c r="TDB2" s="13"/>
      <c r="TDC2" s="13"/>
      <c r="TDD2" s="13"/>
      <c r="TDE2" s="13"/>
      <c r="TDF2" s="13"/>
      <c r="TDG2" s="13"/>
      <c r="TDH2" s="13"/>
      <c r="TDI2" s="13"/>
      <c r="TDJ2" s="13"/>
      <c r="TDK2" s="13"/>
      <c r="TDL2" s="13"/>
      <c r="TDM2" s="13"/>
      <c r="TDN2" s="13"/>
      <c r="TDO2" s="13"/>
      <c r="TDP2" s="13"/>
      <c r="TDQ2" s="13"/>
      <c r="TDR2" s="13"/>
      <c r="TDS2" s="13"/>
      <c r="TDT2" s="13"/>
      <c r="TDU2" s="13"/>
      <c r="TDV2" s="13"/>
      <c r="TDW2" s="13"/>
      <c r="TDX2" s="13"/>
      <c r="TDY2" s="13"/>
      <c r="TDZ2" s="13"/>
      <c r="TEA2" s="13"/>
      <c r="TEB2" s="13"/>
      <c r="TEC2" s="13"/>
      <c r="TED2" s="13"/>
      <c r="TEE2" s="13"/>
      <c r="TEF2" s="13"/>
      <c r="TEG2" s="13"/>
      <c r="TEH2" s="13"/>
      <c r="TEI2" s="13"/>
      <c r="TEJ2" s="13"/>
      <c r="TEK2" s="13"/>
      <c r="TEL2" s="13"/>
      <c r="TEM2" s="13"/>
      <c r="TEN2" s="13"/>
      <c r="TEO2" s="13"/>
      <c r="TEP2" s="13"/>
      <c r="TEQ2" s="13"/>
      <c r="TER2" s="13"/>
      <c r="TES2" s="13"/>
      <c r="TET2" s="13"/>
      <c r="TEU2" s="13"/>
      <c r="TEV2" s="13"/>
      <c r="TEW2" s="13"/>
      <c r="TEX2" s="13"/>
      <c r="TEY2" s="13"/>
      <c r="TEZ2" s="13"/>
      <c r="TFA2" s="13"/>
      <c r="TFB2" s="13"/>
      <c r="TFC2" s="13"/>
      <c r="TFD2" s="13"/>
      <c r="TFE2" s="13"/>
      <c r="TFF2" s="13"/>
      <c r="TFG2" s="13"/>
      <c r="TFH2" s="13"/>
      <c r="TFI2" s="13"/>
      <c r="TFJ2" s="13"/>
      <c r="TFK2" s="13"/>
      <c r="TFL2" s="13"/>
      <c r="TFM2" s="13"/>
      <c r="TFN2" s="13"/>
      <c r="TFO2" s="13"/>
      <c r="TFP2" s="13"/>
      <c r="TFQ2" s="13"/>
      <c r="TFR2" s="13"/>
      <c r="TFS2" s="13"/>
      <c r="TFT2" s="13"/>
      <c r="TFU2" s="13"/>
      <c r="TFV2" s="13"/>
      <c r="TFW2" s="13"/>
      <c r="TFX2" s="13"/>
      <c r="TFY2" s="13"/>
      <c r="TFZ2" s="13"/>
      <c r="TGA2" s="13"/>
      <c r="TGB2" s="13"/>
      <c r="TGC2" s="13"/>
      <c r="TGD2" s="13"/>
      <c r="TGE2" s="13"/>
      <c r="TGF2" s="13"/>
      <c r="TGG2" s="13"/>
      <c r="TGH2" s="13"/>
      <c r="TGI2" s="13"/>
      <c r="TGJ2" s="13"/>
      <c r="TGK2" s="13"/>
      <c r="TGL2" s="13"/>
      <c r="TGM2" s="13"/>
      <c r="TGN2" s="13"/>
      <c r="TGO2" s="13"/>
      <c r="TGP2" s="13"/>
      <c r="TGQ2" s="13"/>
      <c r="TGR2" s="13"/>
      <c r="TGS2" s="13"/>
      <c r="TGT2" s="13"/>
      <c r="TGU2" s="13"/>
      <c r="TGV2" s="13"/>
      <c r="TGW2" s="13"/>
      <c r="TGX2" s="13"/>
      <c r="TGY2" s="13"/>
      <c r="TGZ2" s="13"/>
      <c r="THA2" s="13"/>
      <c r="THB2" s="13"/>
      <c r="THC2" s="13"/>
      <c r="THD2" s="13"/>
      <c r="THE2" s="13"/>
      <c r="THF2" s="13"/>
      <c r="THG2" s="13"/>
      <c r="THH2" s="13"/>
      <c r="THI2" s="13"/>
      <c r="THJ2" s="13"/>
      <c r="THK2" s="13"/>
      <c r="THL2" s="13"/>
      <c r="THM2" s="13"/>
      <c r="THN2" s="13"/>
      <c r="THO2" s="13"/>
      <c r="THP2" s="13"/>
      <c r="THQ2" s="13"/>
      <c r="THR2" s="13"/>
      <c r="THS2" s="13"/>
      <c r="THT2" s="13"/>
      <c r="THU2" s="13"/>
      <c r="THV2" s="13"/>
      <c r="THW2" s="13"/>
      <c r="THX2" s="13"/>
      <c r="THY2" s="13"/>
      <c r="THZ2" s="13"/>
      <c r="TIA2" s="13"/>
      <c r="TIB2" s="13"/>
      <c r="TIC2" s="13"/>
      <c r="TID2" s="13"/>
      <c r="TIE2" s="13"/>
      <c r="TIF2" s="13"/>
      <c r="TIG2" s="13"/>
      <c r="TIH2" s="13"/>
      <c r="TII2" s="13"/>
      <c r="TIJ2" s="13"/>
      <c r="TIK2" s="13"/>
      <c r="TIL2" s="13"/>
      <c r="TIM2" s="13"/>
      <c r="TIN2" s="13"/>
      <c r="TIO2" s="13"/>
      <c r="TIP2" s="13"/>
      <c r="TIQ2" s="13"/>
      <c r="TIR2" s="13"/>
      <c r="TIS2" s="13"/>
      <c r="TIT2" s="13"/>
      <c r="TIU2" s="13"/>
      <c r="TIV2" s="13"/>
      <c r="TIW2" s="13"/>
      <c r="TIX2" s="13"/>
      <c r="TIY2" s="13"/>
      <c r="TIZ2" s="13"/>
      <c r="TJA2" s="13"/>
      <c r="TJB2" s="13"/>
      <c r="TJC2" s="13"/>
      <c r="TJD2" s="13"/>
      <c r="TJE2" s="13"/>
      <c r="TJF2" s="13"/>
      <c r="TJG2" s="13"/>
      <c r="TJH2" s="13"/>
      <c r="TJI2" s="13"/>
      <c r="TJJ2" s="13"/>
      <c r="TJK2" s="13"/>
      <c r="TJL2" s="13"/>
      <c r="TJM2" s="13"/>
      <c r="TJN2" s="13"/>
      <c r="TJO2" s="13"/>
      <c r="TJP2" s="13"/>
      <c r="TJQ2" s="13"/>
      <c r="TJR2" s="13"/>
      <c r="TJS2" s="13"/>
      <c r="TJT2" s="13"/>
      <c r="TJU2" s="13"/>
      <c r="TJV2" s="13"/>
      <c r="TJW2" s="13"/>
      <c r="TJX2" s="13"/>
      <c r="TJY2" s="13"/>
      <c r="TJZ2" s="13"/>
      <c r="TKA2" s="13"/>
      <c r="TKB2" s="13"/>
      <c r="TKC2" s="13"/>
      <c r="TKD2" s="13"/>
      <c r="TKE2" s="13"/>
      <c r="TKF2" s="13"/>
      <c r="TKG2" s="13"/>
      <c r="TKH2" s="13"/>
      <c r="TKI2" s="13"/>
      <c r="TKJ2" s="13"/>
      <c r="TKK2" s="13"/>
      <c r="TKL2" s="13"/>
      <c r="TKM2" s="13"/>
      <c r="TKN2" s="13"/>
      <c r="TKO2" s="13"/>
      <c r="TKP2" s="13"/>
      <c r="TKQ2" s="13"/>
      <c r="TKR2" s="13"/>
      <c r="TKS2" s="13"/>
      <c r="TKT2" s="13"/>
      <c r="TKU2" s="13"/>
      <c r="TKV2" s="13"/>
      <c r="TKW2" s="13"/>
      <c r="TKX2" s="13"/>
      <c r="TKY2" s="13"/>
      <c r="TKZ2" s="13"/>
      <c r="TLA2" s="13"/>
      <c r="TLB2" s="13"/>
      <c r="TLC2" s="13"/>
      <c r="TLD2" s="13"/>
      <c r="TLE2" s="13"/>
      <c r="TLF2" s="13"/>
      <c r="TLG2" s="13"/>
      <c r="TLH2" s="13"/>
      <c r="TLI2" s="13"/>
      <c r="TLJ2" s="13"/>
      <c r="TLK2" s="13"/>
      <c r="TLL2" s="13"/>
      <c r="TLM2" s="13"/>
      <c r="TLN2" s="13"/>
      <c r="TLO2" s="13"/>
      <c r="TLP2" s="13"/>
      <c r="TLQ2" s="13"/>
      <c r="TLR2" s="13"/>
      <c r="TLS2" s="13"/>
      <c r="TLT2" s="13"/>
      <c r="TLU2" s="13"/>
      <c r="TLV2" s="13"/>
      <c r="TLW2" s="13"/>
      <c r="TLX2" s="13"/>
      <c r="TLY2" s="13"/>
      <c r="TLZ2" s="13"/>
      <c r="TMA2" s="13"/>
      <c r="TMB2" s="13"/>
      <c r="TMC2" s="13"/>
      <c r="TMD2" s="13"/>
      <c r="TME2" s="13"/>
      <c r="TMF2" s="13"/>
      <c r="TMG2" s="13"/>
      <c r="TMH2" s="13"/>
      <c r="TMI2" s="13"/>
      <c r="TMJ2" s="13"/>
      <c r="TMK2" s="13"/>
      <c r="TML2" s="13"/>
      <c r="TMM2" s="13"/>
      <c r="TMN2" s="13"/>
      <c r="TMO2" s="13"/>
      <c r="TMP2" s="13"/>
      <c r="TMQ2" s="13"/>
      <c r="TMR2" s="13"/>
      <c r="TMS2" s="13"/>
      <c r="TMT2" s="13"/>
      <c r="TMU2" s="13"/>
      <c r="TMV2" s="13"/>
      <c r="TMW2" s="13"/>
      <c r="TMX2" s="13"/>
      <c r="TMY2" s="13"/>
      <c r="TMZ2" s="13"/>
      <c r="TNA2" s="13"/>
      <c r="TNB2" s="13"/>
      <c r="TNC2" s="13"/>
      <c r="TND2" s="13"/>
      <c r="TNE2" s="13"/>
      <c r="TNF2" s="13"/>
      <c r="TNG2" s="13"/>
      <c r="TNH2" s="13"/>
      <c r="TNI2" s="13"/>
      <c r="TNJ2" s="13"/>
      <c r="TNK2" s="13"/>
      <c r="TNL2" s="13"/>
      <c r="TNM2" s="13"/>
      <c r="TNN2" s="13"/>
      <c r="TNO2" s="13"/>
      <c r="TNP2" s="13"/>
      <c r="TNQ2" s="13"/>
      <c r="TNR2" s="13"/>
      <c r="TNS2" s="13"/>
      <c r="TNT2" s="13"/>
      <c r="TNU2" s="13"/>
      <c r="TNV2" s="13"/>
      <c r="TNW2" s="13"/>
      <c r="TNX2" s="13"/>
      <c r="TNY2" s="13"/>
      <c r="TNZ2" s="13"/>
      <c r="TOA2" s="13"/>
      <c r="TOB2" s="13"/>
      <c r="TOC2" s="13"/>
      <c r="TOD2" s="13"/>
      <c r="TOE2" s="13"/>
      <c r="TOF2" s="13"/>
      <c r="TOG2" s="13"/>
      <c r="TOH2" s="13"/>
      <c r="TOI2" s="13"/>
      <c r="TOJ2" s="13"/>
      <c r="TOK2" s="13"/>
      <c r="TOL2" s="13"/>
      <c r="TOM2" s="13"/>
      <c r="TON2" s="13"/>
      <c r="TOO2" s="13"/>
      <c r="TOP2" s="13"/>
      <c r="TOQ2" s="13"/>
      <c r="TOR2" s="13"/>
      <c r="TOS2" s="13"/>
      <c r="TOT2" s="13"/>
      <c r="TOU2" s="13"/>
      <c r="TOV2" s="13"/>
      <c r="TOW2" s="13"/>
      <c r="TOX2" s="13"/>
      <c r="TOY2" s="13"/>
      <c r="TOZ2" s="13"/>
      <c r="TPA2" s="13"/>
      <c r="TPB2" s="13"/>
      <c r="TPC2" s="13"/>
      <c r="TPD2" s="13"/>
      <c r="TPE2" s="13"/>
      <c r="TPF2" s="13"/>
      <c r="TPG2" s="13"/>
      <c r="TPH2" s="13"/>
      <c r="TPI2" s="13"/>
      <c r="TPJ2" s="13"/>
      <c r="TPK2" s="13"/>
      <c r="TPL2" s="13"/>
      <c r="TPM2" s="13"/>
      <c r="TPN2" s="13"/>
      <c r="TPO2" s="13"/>
      <c r="TPP2" s="13"/>
      <c r="TPQ2" s="13"/>
      <c r="TPR2" s="13"/>
      <c r="TPS2" s="13"/>
      <c r="TPT2" s="13"/>
      <c r="TPU2" s="13"/>
      <c r="TPV2" s="13"/>
      <c r="TPW2" s="13"/>
      <c r="TPX2" s="13"/>
      <c r="TPY2" s="13"/>
      <c r="TPZ2" s="13"/>
      <c r="TQA2" s="13"/>
      <c r="TQB2" s="13"/>
      <c r="TQC2" s="13"/>
      <c r="TQD2" s="13"/>
      <c r="TQE2" s="13"/>
      <c r="TQF2" s="13"/>
      <c r="TQG2" s="13"/>
      <c r="TQH2" s="13"/>
      <c r="TQI2" s="13"/>
      <c r="TQJ2" s="13"/>
      <c r="TQK2" s="13"/>
      <c r="TQL2" s="13"/>
      <c r="TQM2" s="13"/>
      <c r="TQN2" s="13"/>
      <c r="TQO2" s="13"/>
      <c r="TQP2" s="13"/>
      <c r="TQQ2" s="13"/>
      <c r="TQR2" s="13"/>
      <c r="TQS2" s="13"/>
      <c r="TQT2" s="13"/>
      <c r="TQU2" s="13"/>
      <c r="TQV2" s="13"/>
      <c r="TQW2" s="13"/>
      <c r="TQX2" s="13"/>
      <c r="TQY2" s="13"/>
      <c r="TQZ2" s="13"/>
      <c r="TRA2" s="13"/>
      <c r="TRB2" s="13"/>
      <c r="TRC2" s="13"/>
      <c r="TRD2" s="13"/>
      <c r="TRE2" s="13"/>
      <c r="TRF2" s="13"/>
      <c r="TRG2" s="13"/>
      <c r="TRH2" s="13"/>
      <c r="TRI2" s="13"/>
      <c r="TRJ2" s="13"/>
      <c r="TRK2" s="13"/>
      <c r="TRL2" s="13"/>
      <c r="TRM2" s="13"/>
      <c r="TRN2" s="13"/>
      <c r="TRO2" s="13"/>
      <c r="TRP2" s="13"/>
      <c r="TRQ2" s="13"/>
      <c r="TRR2" s="13"/>
      <c r="TRS2" s="13"/>
      <c r="TRT2" s="13"/>
      <c r="TRU2" s="13"/>
      <c r="TRV2" s="13"/>
      <c r="TRW2" s="13"/>
      <c r="TRX2" s="13"/>
      <c r="TRY2" s="13"/>
      <c r="TRZ2" s="13"/>
      <c r="TSA2" s="13"/>
      <c r="TSB2" s="13"/>
      <c r="TSC2" s="13"/>
      <c r="TSD2" s="13"/>
      <c r="TSE2" s="13"/>
      <c r="TSF2" s="13"/>
      <c r="TSG2" s="13"/>
      <c r="TSH2" s="13"/>
      <c r="TSI2" s="13"/>
      <c r="TSJ2" s="13"/>
      <c r="TSK2" s="13"/>
      <c r="TSL2" s="13"/>
      <c r="TSM2" s="13"/>
      <c r="TSN2" s="13"/>
      <c r="TSO2" s="13"/>
      <c r="TSP2" s="13"/>
      <c r="TSQ2" s="13"/>
      <c r="TSR2" s="13"/>
      <c r="TSS2" s="13"/>
      <c r="TST2" s="13"/>
      <c r="TSU2" s="13"/>
      <c r="TSV2" s="13"/>
      <c r="TSW2" s="13"/>
      <c r="TSX2" s="13"/>
      <c r="TSY2" s="13"/>
      <c r="TSZ2" s="13"/>
      <c r="TTA2" s="13"/>
      <c r="TTB2" s="13"/>
      <c r="TTC2" s="13"/>
      <c r="TTD2" s="13"/>
      <c r="TTE2" s="13"/>
      <c r="TTF2" s="13"/>
      <c r="TTG2" s="13"/>
      <c r="TTH2" s="13"/>
      <c r="TTI2" s="13"/>
      <c r="TTJ2" s="13"/>
      <c r="TTK2" s="13"/>
      <c r="TTL2" s="13"/>
      <c r="TTM2" s="13"/>
      <c r="TTN2" s="13"/>
      <c r="TTO2" s="13"/>
      <c r="TTP2" s="13"/>
      <c r="TTQ2" s="13"/>
      <c r="TTR2" s="13"/>
      <c r="TTS2" s="13"/>
      <c r="TTT2" s="13"/>
      <c r="TTU2" s="13"/>
      <c r="TTV2" s="13"/>
      <c r="TTW2" s="13"/>
      <c r="TTX2" s="13"/>
      <c r="TTY2" s="13"/>
      <c r="TTZ2" s="13"/>
      <c r="TUA2" s="13"/>
      <c r="TUB2" s="13"/>
      <c r="TUC2" s="13"/>
      <c r="TUD2" s="13"/>
      <c r="TUE2" s="13"/>
      <c r="TUF2" s="13"/>
      <c r="TUG2" s="13"/>
      <c r="TUH2" s="13"/>
      <c r="TUI2" s="13"/>
      <c r="TUJ2" s="13"/>
      <c r="TUK2" s="13"/>
      <c r="TUL2" s="13"/>
      <c r="TUM2" s="13"/>
      <c r="TUN2" s="13"/>
      <c r="TUO2" s="13"/>
      <c r="TUP2" s="13"/>
      <c r="TUQ2" s="13"/>
      <c r="TUR2" s="13"/>
      <c r="TUS2" s="13"/>
      <c r="TUT2" s="13"/>
      <c r="TUU2" s="13"/>
      <c r="TUV2" s="13"/>
      <c r="TUW2" s="13"/>
      <c r="TUX2" s="13"/>
      <c r="TUY2" s="13"/>
      <c r="TUZ2" s="13"/>
      <c r="TVA2" s="13"/>
      <c r="TVB2" s="13"/>
      <c r="TVC2" s="13"/>
      <c r="TVD2" s="13"/>
      <c r="TVE2" s="13"/>
      <c r="TVF2" s="13"/>
      <c r="TVG2" s="13"/>
      <c r="TVH2" s="13"/>
      <c r="TVI2" s="13"/>
      <c r="TVJ2" s="13"/>
      <c r="TVK2" s="13"/>
      <c r="TVL2" s="13"/>
      <c r="TVM2" s="13"/>
      <c r="TVN2" s="13"/>
      <c r="TVO2" s="13"/>
      <c r="TVP2" s="13"/>
      <c r="TVQ2" s="13"/>
      <c r="TVR2" s="13"/>
      <c r="TVS2" s="13"/>
      <c r="TVT2" s="13"/>
      <c r="TVU2" s="13"/>
      <c r="TVV2" s="13"/>
      <c r="TVW2" s="13"/>
      <c r="TVX2" s="13"/>
      <c r="TVY2" s="13"/>
      <c r="TVZ2" s="13"/>
      <c r="TWA2" s="13"/>
      <c r="TWB2" s="13"/>
      <c r="TWC2" s="13"/>
      <c r="TWD2" s="13"/>
      <c r="TWE2" s="13"/>
      <c r="TWF2" s="13"/>
      <c r="TWG2" s="13"/>
      <c r="TWH2" s="13"/>
      <c r="TWI2" s="13"/>
      <c r="TWJ2" s="13"/>
      <c r="TWK2" s="13"/>
      <c r="TWL2" s="13"/>
      <c r="TWM2" s="13"/>
      <c r="TWN2" s="13"/>
      <c r="TWO2" s="13"/>
      <c r="TWP2" s="13"/>
      <c r="TWQ2" s="13"/>
      <c r="TWR2" s="13"/>
      <c r="TWS2" s="13"/>
      <c r="TWT2" s="13"/>
      <c r="TWU2" s="13"/>
      <c r="TWV2" s="13"/>
      <c r="TWW2" s="13"/>
      <c r="TWX2" s="13"/>
      <c r="TWY2" s="13"/>
      <c r="TWZ2" s="13"/>
      <c r="TXA2" s="13"/>
      <c r="TXB2" s="13"/>
      <c r="TXC2" s="13"/>
      <c r="TXD2" s="13"/>
      <c r="TXE2" s="13"/>
      <c r="TXF2" s="13"/>
      <c r="TXG2" s="13"/>
      <c r="TXH2" s="13"/>
      <c r="TXI2" s="13"/>
      <c r="TXJ2" s="13"/>
      <c r="TXK2" s="13"/>
      <c r="TXL2" s="13"/>
      <c r="TXM2" s="13"/>
      <c r="TXN2" s="13"/>
      <c r="TXO2" s="13"/>
      <c r="TXP2" s="13"/>
      <c r="TXQ2" s="13"/>
      <c r="TXR2" s="13"/>
      <c r="TXS2" s="13"/>
      <c r="TXT2" s="13"/>
      <c r="TXU2" s="13"/>
      <c r="TXV2" s="13"/>
      <c r="TXW2" s="13"/>
      <c r="TXX2" s="13"/>
      <c r="TXY2" s="13"/>
      <c r="TXZ2" s="13"/>
      <c r="TYA2" s="13"/>
      <c r="TYB2" s="13"/>
      <c r="TYC2" s="13"/>
      <c r="TYD2" s="13"/>
      <c r="TYE2" s="13"/>
      <c r="TYF2" s="13"/>
      <c r="TYG2" s="13"/>
      <c r="TYH2" s="13"/>
      <c r="TYI2" s="13"/>
      <c r="TYJ2" s="13"/>
      <c r="TYK2" s="13"/>
      <c r="TYL2" s="13"/>
      <c r="TYM2" s="13"/>
      <c r="TYN2" s="13"/>
      <c r="TYO2" s="13"/>
      <c r="TYP2" s="13"/>
      <c r="TYQ2" s="13"/>
      <c r="TYR2" s="13"/>
      <c r="TYS2" s="13"/>
      <c r="TYT2" s="13"/>
      <c r="TYU2" s="13"/>
      <c r="TYV2" s="13"/>
      <c r="TYW2" s="13"/>
      <c r="TYX2" s="13"/>
      <c r="TYY2" s="13"/>
      <c r="TYZ2" s="13"/>
      <c r="TZA2" s="13"/>
      <c r="TZB2" s="13"/>
      <c r="TZC2" s="13"/>
      <c r="TZD2" s="13"/>
      <c r="TZE2" s="13"/>
      <c r="TZF2" s="13"/>
      <c r="TZG2" s="13"/>
      <c r="TZH2" s="13"/>
      <c r="TZI2" s="13"/>
      <c r="TZJ2" s="13"/>
      <c r="TZK2" s="13"/>
      <c r="TZL2" s="13"/>
      <c r="TZM2" s="13"/>
      <c r="TZN2" s="13"/>
      <c r="TZO2" s="13"/>
      <c r="TZP2" s="13"/>
      <c r="TZQ2" s="13"/>
      <c r="TZR2" s="13"/>
      <c r="TZS2" s="13"/>
      <c r="TZT2" s="13"/>
      <c r="TZU2" s="13"/>
      <c r="TZV2" s="13"/>
      <c r="TZW2" s="13"/>
      <c r="TZX2" s="13"/>
      <c r="TZY2" s="13"/>
      <c r="TZZ2" s="13"/>
      <c r="UAA2" s="13"/>
      <c r="UAB2" s="13"/>
      <c r="UAC2" s="13"/>
      <c r="UAD2" s="13"/>
      <c r="UAE2" s="13"/>
      <c r="UAF2" s="13"/>
      <c r="UAG2" s="13"/>
      <c r="UAH2" s="13"/>
      <c r="UAI2" s="13"/>
      <c r="UAJ2" s="13"/>
      <c r="UAK2" s="13"/>
      <c r="UAL2" s="13"/>
      <c r="UAM2" s="13"/>
      <c r="UAN2" s="13"/>
      <c r="UAO2" s="13"/>
      <c r="UAP2" s="13"/>
      <c r="UAQ2" s="13"/>
      <c r="UAR2" s="13"/>
      <c r="UAS2" s="13"/>
      <c r="UAT2" s="13"/>
      <c r="UAU2" s="13"/>
      <c r="UAV2" s="13"/>
      <c r="UAW2" s="13"/>
      <c r="UAX2" s="13"/>
      <c r="UAY2" s="13"/>
      <c r="UAZ2" s="13"/>
      <c r="UBA2" s="13"/>
      <c r="UBB2" s="13"/>
      <c r="UBC2" s="13"/>
      <c r="UBD2" s="13"/>
      <c r="UBE2" s="13"/>
      <c r="UBF2" s="13"/>
      <c r="UBG2" s="13"/>
      <c r="UBH2" s="13"/>
      <c r="UBI2" s="13"/>
      <c r="UBJ2" s="13"/>
      <c r="UBK2" s="13"/>
      <c r="UBL2" s="13"/>
      <c r="UBM2" s="13"/>
      <c r="UBN2" s="13"/>
      <c r="UBO2" s="13"/>
      <c r="UBP2" s="13"/>
      <c r="UBQ2" s="13"/>
      <c r="UBR2" s="13"/>
      <c r="UBS2" s="13"/>
      <c r="UBT2" s="13"/>
      <c r="UBU2" s="13"/>
      <c r="UBV2" s="13"/>
      <c r="UBW2" s="13"/>
      <c r="UBX2" s="13"/>
      <c r="UBY2" s="13"/>
      <c r="UBZ2" s="13"/>
      <c r="UCA2" s="13"/>
      <c r="UCB2" s="13"/>
      <c r="UCC2" s="13"/>
      <c r="UCD2" s="13"/>
      <c r="UCE2" s="13"/>
      <c r="UCF2" s="13"/>
      <c r="UCG2" s="13"/>
      <c r="UCH2" s="13"/>
      <c r="UCI2" s="13"/>
      <c r="UCJ2" s="13"/>
      <c r="UCK2" s="13"/>
      <c r="UCL2" s="13"/>
      <c r="UCM2" s="13"/>
      <c r="UCN2" s="13"/>
      <c r="UCO2" s="13"/>
      <c r="UCP2" s="13"/>
      <c r="UCQ2" s="13"/>
      <c r="UCR2" s="13"/>
      <c r="UCS2" s="13"/>
      <c r="UCT2" s="13"/>
      <c r="UCU2" s="13"/>
      <c r="UCV2" s="13"/>
      <c r="UCW2" s="13"/>
      <c r="UCX2" s="13"/>
      <c r="UCY2" s="13"/>
      <c r="UCZ2" s="13"/>
      <c r="UDA2" s="13"/>
      <c r="UDB2" s="13"/>
      <c r="UDC2" s="13"/>
      <c r="UDD2" s="13"/>
      <c r="UDE2" s="13"/>
      <c r="UDF2" s="13"/>
      <c r="UDG2" s="13"/>
      <c r="UDH2" s="13"/>
      <c r="UDI2" s="13"/>
      <c r="UDJ2" s="13"/>
      <c r="UDK2" s="13"/>
      <c r="UDL2" s="13"/>
      <c r="UDM2" s="13"/>
      <c r="UDN2" s="13"/>
      <c r="UDO2" s="13"/>
      <c r="UDP2" s="13"/>
      <c r="UDQ2" s="13"/>
      <c r="UDR2" s="13"/>
      <c r="UDS2" s="13"/>
      <c r="UDT2" s="13"/>
      <c r="UDU2" s="13"/>
      <c r="UDV2" s="13"/>
      <c r="UDW2" s="13"/>
      <c r="UDX2" s="13"/>
      <c r="UDY2" s="13"/>
      <c r="UDZ2" s="13"/>
      <c r="UEA2" s="13"/>
      <c r="UEB2" s="13"/>
      <c r="UEC2" s="13"/>
      <c r="UED2" s="13"/>
      <c r="UEE2" s="13"/>
      <c r="UEF2" s="13"/>
      <c r="UEG2" s="13"/>
      <c r="UEH2" s="13"/>
      <c r="UEI2" s="13"/>
      <c r="UEJ2" s="13"/>
      <c r="UEK2" s="13"/>
      <c r="UEL2" s="13"/>
      <c r="UEM2" s="13"/>
      <c r="UEN2" s="13"/>
      <c r="UEO2" s="13"/>
      <c r="UEP2" s="13"/>
      <c r="UEQ2" s="13"/>
      <c r="UER2" s="13"/>
      <c r="UES2" s="13"/>
      <c r="UET2" s="13"/>
      <c r="UEU2" s="13"/>
      <c r="UEV2" s="13"/>
      <c r="UEW2" s="13"/>
      <c r="UEX2" s="13"/>
      <c r="UEY2" s="13"/>
      <c r="UEZ2" s="13"/>
      <c r="UFA2" s="13"/>
      <c r="UFB2" s="13"/>
      <c r="UFC2" s="13"/>
      <c r="UFD2" s="13"/>
      <c r="UFE2" s="13"/>
      <c r="UFF2" s="13"/>
      <c r="UFG2" s="13"/>
      <c r="UFH2" s="13"/>
      <c r="UFI2" s="13"/>
      <c r="UFJ2" s="13"/>
      <c r="UFK2" s="13"/>
      <c r="UFL2" s="13"/>
      <c r="UFM2" s="13"/>
      <c r="UFN2" s="13"/>
      <c r="UFO2" s="13"/>
      <c r="UFP2" s="13"/>
      <c r="UFQ2" s="13"/>
      <c r="UFR2" s="13"/>
      <c r="UFS2" s="13"/>
      <c r="UFT2" s="13"/>
      <c r="UFU2" s="13"/>
      <c r="UFV2" s="13"/>
      <c r="UFW2" s="13"/>
      <c r="UFX2" s="13"/>
      <c r="UFY2" s="13"/>
      <c r="UFZ2" s="13"/>
      <c r="UGA2" s="13"/>
      <c r="UGB2" s="13"/>
      <c r="UGC2" s="13"/>
      <c r="UGD2" s="13"/>
      <c r="UGE2" s="13"/>
      <c r="UGF2" s="13"/>
      <c r="UGG2" s="13"/>
      <c r="UGH2" s="13"/>
      <c r="UGI2" s="13"/>
      <c r="UGJ2" s="13"/>
      <c r="UGK2" s="13"/>
      <c r="UGL2" s="13"/>
      <c r="UGM2" s="13"/>
      <c r="UGN2" s="13"/>
      <c r="UGO2" s="13"/>
      <c r="UGP2" s="13"/>
      <c r="UGQ2" s="13"/>
      <c r="UGR2" s="13"/>
      <c r="UGS2" s="13"/>
      <c r="UGT2" s="13"/>
      <c r="UGU2" s="13"/>
      <c r="UGV2" s="13"/>
      <c r="UGW2" s="13"/>
      <c r="UGX2" s="13"/>
      <c r="UGY2" s="13"/>
      <c r="UGZ2" s="13"/>
      <c r="UHA2" s="13"/>
      <c r="UHB2" s="13"/>
      <c r="UHC2" s="13"/>
      <c r="UHD2" s="13"/>
      <c r="UHE2" s="13"/>
      <c r="UHF2" s="13"/>
      <c r="UHG2" s="13"/>
      <c r="UHH2" s="13"/>
      <c r="UHI2" s="13"/>
      <c r="UHJ2" s="13"/>
      <c r="UHK2" s="13"/>
      <c r="UHL2" s="13"/>
      <c r="UHM2" s="13"/>
      <c r="UHN2" s="13"/>
      <c r="UHO2" s="13"/>
      <c r="UHP2" s="13"/>
      <c r="UHQ2" s="13"/>
      <c r="UHR2" s="13"/>
      <c r="UHS2" s="13"/>
      <c r="UHT2" s="13"/>
      <c r="UHU2" s="13"/>
      <c r="UHV2" s="13"/>
      <c r="UHW2" s="13"/>
      <c r="UHX2" s="13"/>
      <c r="UHY2" s="13"/>
      <c r="UHZ2" s="13"/>
      <c r="UIA2" s="13"/>
      <c r="UIB2" s="13"/>
      <c r="UIC2" s="13"/>
      <c r="UID2" s="13"/>
      <c r="UIE2" s="13"/>
      <c r="UIF2" s="13"/>
      <c r="UIG2" s="13"/>
      <c r="UIH2" s="13"/>
      <c r="UII2" s="13"/>
      <c r="UIJ2" s="13"/>
      <c r="UIK2" s="13"/>
      <c r="UIL2" s="13"/>
      <c r="UIM2" s="13"/>
      <c r="UIN2" s="13"/>
      <c r="UIO2" s="13"/>
      <c r="UIP2" s="13"/>
      <c r="UIQ2" s="13"/>
      <c r="UIR2" s="13"/>
      <c r="UIS2" s="13"/>
      <c r="UIT2" s="13"/>
      <c r="UIU2" s="13"/>
      <c r="UIV2" s="13"/>
      <c r="UIW2" s="13"/>
      <c r="UIX2" s="13"/>
      <c r="UIY2" s="13"/>
      <c r="UIZ2" s="13"/>
      <c r="UJA2" s="13"/>
      <c r="UJB2" s="13"/>
      <c r="UJC2" s="13"/>
      <c r="UJD2" s="13"/>
      <c r="UJE2" s="13"/>
      <c r="UJF2" s="13"/>
      <c r="UJG2" s="13"/>
      <c r="UJH2" s="13"/>
      <c r="UJI2" s="13"/>
      <c r="UJJ2" s="13"/>
      <c r="UJK2" s="13"/>
      <c r="UJL2" s="13"/>
      <c r="UJM2" s="13"/>
      <c r="UJN2" s="13"/>
      <c r="UJO2" s="13"/>
      <c r="UJP2" s="13"/>
      <c r="UJQ2" s="13"/>
      <c r="UJR2" s="13"/>
      <c r="UJS2" s="13"/>
      <c r="UJT2" s="13"/>
      <c r="UJU2" s="13"/>
      <c r="UJV2" s="13"/>
      <c r="UJW2" s="13"/>
      <c r="UJX2" s="13"/>
      <c r="UJY2" s="13"/>
      <c r="UJZ2" s="13"/>
      <c r="UKA2" s="13"/>
      <c r="UKB2" s="13"/>
      <c r="UKC2" s="13"/>
      <c r="UKD2" s="13"/>
      <c r="UKE2" s="13"/>
      <c r="UKF2" s="13"/>
      <c r="UKG2" s="13"/>
      <c r="UKH2" s="13"/>
      <c r="UKI2" s="13"/>
      <c r="UKJ2" s="13"/>
      <c r="UKK2" s="13"/>
      <c r="UKL2" s="13"/>
      <c r="UKM2" s="13"/>
      <c r="UKN2" s="13"/>
      <c r="UKO2" s="13"/>
      <c r="UKP2" s="13"/>
      <c r="UKQ2" s="13"/>
      <c r="UKR2" s="13"/>
      <c r="UKS2" s="13"/>
      <c r="UKT2" s="13"/>
      <c r="UKU2" s="13"/>
      <c r="UKV2" s="13"/>
      <c r="UKW2" s="13"/>
      <c r="UKX2" s="13"/>
      <c r="UKY2" s="13"/>
      <c r="UKZ2" s="13"/>
      <c r="ULA2" s="13"/>
      <c r="ULB2" s="13"/>
      <c r="ULC2" s="13"/>
      <c r="ULD2" s="13"/>
      <c r="ULE2" s="13"/>
      <c r="ULF2" s="13"/>
      <c r="ULG2" s="13"/>
      <c r="ULH2" s="13"/>
      <c r="ULI2" s="13"/>
      <c r="ULJ2" s="13"/>
      <c r="ULK2" s="13"/>
      <c r="ULL2" s="13"/>
      <c r="ULM2" s="13"/>
      <c r="ULN2" s="13"/>
      <c r="ULO2" s="13"/>
      <c r="ULP2" s="13"/>
      <c r="ULQ2" s="13"/>
      <c r="ULR2" s="13"/>
      <c r="ULS2" s="13"/>
      <c r="ULT2" s="13"/>
      <c r="ULU2" s="13"/>
      <c r="ULV2" s="13"/>
      <c r="ULW2" s="13"/>
      <c r="ULX2" s="13"/>
      <c r="ULY2" s="13"/>
      <c r="ULZ2" s="13"/>
      <c r="UMA2" s="13"/>
      <c r="UMB2" s="13"/>
      <c r="UMC2" s="13"/>
      <c r="UMD2" s="13"/>
      <c r="UME2" s="13"/>
      <c r="UMF2" s="13"/>
      <c r="UMG2" s="13"/>
      <c r="UMH2" s="13"/>
      <c r="UMI2" s="13"/>
      <c r="UMJ2" s="13"/>
      <c r="UMK2" s="13"/>
      <c r="UML2" s="13"/>
      <c r="UMM2" s="13"/>
      <c r="UMN2" s="13"/>
      <c r="UMO2" s="13"/>
      <c r="UMP2" s="13"/>
      <c r="UMQ2" s="13"/>
      <c r="UMR2" s="13"/>
      <c r="UMS2" s="13"/>
      <c r="UMT2" s="13"/>
      <c r="UMU2" s="13"/>
      <c r="UMV2" s="13"/>
      <c r="UMW2" s="13"/>
      <c r="UMX2" s="13"/>
      <c r="UMY2" s="13"/>
      <c r="UMZ2" s="13"/>
      <c r="UNA2" s="13"/>
      <c r="UNB2" s="13"/>
      <c r="UNC2" s="13"/>
      <c r="UND2" s="13"/>
      <c r="UNE2" s="13"/>
      <c r="UNF2" s="13"/>
      <c r="UNG2" s="13"/>
      <c r="UNH2" s="13"/>
      <c r="UNI2" s="13"/>
      <c r="UNJ2" s="13"/>
      <c r="UNK2" s="13"/>
      <c r="UNL2" s="13"/>
      <c r="UNM2" s="13"/>
      <c r="UNN2" s="13"/>
      <c r="UNO2" s="13"/>
      <c r="UNP2" s="13"/>
      <c r="UNQ2" s="13"/>
      <c r="UNR2" s="13"/>
      <c r="UNS2" s="13"/>
      <c r="UNT2" s="13"/>
      <c r="UNU2" s="13"/>
      <c r="UNV2" s="13"/>
      <c r="UNW2" s="13"/>
      <c r="UNX2" s="13"/>
      <c r="UNY2" s="13"/>
      <c r="UNZ2" s="13"/>
      <c r="UOA2" s="13"/>
      <c r="UOB2" s="13"/>
      <c r="UOC2" s="13"/>
      <c r="UOD2" s="13"/>
      <c r="UOE2" s="13"/>
      <c r="UOF2" s="13"/>
      <c r="UOG2" s="13"/>
      <c r="UOH2" s="13"/>
      <c r="UOI2" s="13"/>
      <c r="UOJ2" s="13"/>
      <c r="UOK2" s="13"/>
      <c r="UOL2" s="13"/>
      <c r="UOM2" s="13"/>
      <c r="UON2" s="13"/>
      <c r="UOO2" s="13"/>
      <c r="UOP2" s="13"/>
      <c r="UOQ2" s="13"/>
      <c r="UOR2" s="13"/>
      <c r="UOS2" s="13"/>
      <c r="UOT2" s="13"/>
      <c r="UOU2" s="13"/>
      <c r="UOV2" s="13"/>
      <c r="UOW2" s="13"/>
      <c r="UOX2" s="13"/>
      <c r="UOY2" s="13"/>
      <c r="UOZ2" s="13"/>
      <c r="UPA2" s="13"/>
      <c r="UPB2" s="13"/>
      <c r="UPC2" s="13"/>
      <c r="UPD2" s="13"/>
      <c r="UPE2" s="13"/>
      <c r="UPF2" s="13"/>
      <c r="UPG2" s="13"/>
      <c r="UPH2" s="13"/>
      <c r="UPI2" s="13"/>
      <c r="UPJ2" s="13"/>
      <c r="UPK2" s="13"/>
      <c r="UPL2" s="13"/>
      <c r="UPM2" s="13"/>
      <c r="UPN2" s="13"/>
      <c r="UPO2" s="13"/>
      <c r="UPP2" s="13"/>
      <c r="UPQ2" s="13"/>
      <c r="UPR2" s="13"/>
      <c r="UPS2" s="13"/>
      <c r="UPT2" s="13"/>
      <c r="UPU2" s="13"/>
      <c r="UPV2" s="13"/>
      <c r="UPW2" s="13"/>
      <c r="UPX2" s="13"/>
      <c r="UPY2" s="13"/>
      <c r="UPZ2" s="13"/>
      <c r="UQA2" s="13"/>
      <c r="UQB2" s="13"/>
      <c r="UQC2" s="13"/>
      <c r="UQD2" s="13"/>
      <c r="UQE2" s="13"/>
      <c r="UQF2" s="13"/>
      <c r="UQG2" s="13"/>
      <c r="UQH2" s="13"/>
      <c r="UQI2" s="13"/>
      <c r="UQJ2" s="13"/>
      <c r="UQK2" s="13"/>
      <c r="UQL2" s="13"/>
      <c r="UQM2" s="13"/>
      <c r="UQN2" s="13"/>
      <c r="UQO2" s="13"/>
      <c r="UQP2" s="13"/>
      <c r="UQQ2" s="13"/>
      <c r="UQR2" s="13"/>
      <c r="UQS2" s="13"/>
      <c r="UQT2" s="13"/>
      <c r="UQU2" s="13"/>
      <c r="UQV2" s="13"/>
      <c r="UQW2" s="13"/>
      <c r="UQX2" s="13"/>
      <c r="UQY2" s="13"/>
      <c r="UQZ2" s="13"/>
      <c r="URA2" s="13"/>
      <c r="URB2" s="13"/>
      <c r="URC2" s="13"/>
      <c r="URD2" s="13"/>
      <c r="URE2" s="13"/>
      <c r="URF2" s="13"/>
      <c r="URG2" s="13"/>
      <c r="URH2" s="13"/>
      <c r="URI2" s="13"/>
      <c r="URJ2" s="13"/>
      <c r="URK2" s="13"/>
      <c r="URL2" s="13"/>
      <c r="URM2" s="13"/>
      <c r="URN2" s="13"/>
      <c r="URO2" s="13"/>
      <c r="URP2" s="13"/>
      <c r="URQ2" s="13"/>
      <c r="URR2" s="13"/>
      <c r="URS2" s="13"/>
      <c r="URT2" s="13"/>
      <c r="URU2" s="13"/>
      <c r="URV2" s="13"/>
      <c r="URW2" s="13"/>
      <c r="URX2" s="13"/>
      <c r="URY2" s="13"/>
      <c r="URZ2" s="13"/>
      <c r="USA2" s="13"/>
      <c r="USB2" s="13"/>
      <c r="USC2" s="13"/>
      <c r="USD2" s="13"/>
      <c r="USE2" s="13"/>
      <c r="USF2" s="13"/>
      <c r="USG2" s="13"/>
      <c r="USH2" s="13"/>
      <c r="USI2" s="13"/>
      <c r="USJ2" s="13"/>
      <c r="USK2" s="13"/>
      <c r="USL2" s="13"/>
      <c r="USM2" s="13"/>
      <c r="USN2" s="13"/>
      <c r="USO2" s="13"/>
      <c r="USP2" s="13"/>
      <c r="USQ2" s="13"/>
      <c r="USR2" s="13"/>
      <c r="USS2" s="13"/>
      <c r="UST2" s="13"/>
      <c r="USU2" s="13"/>
      <c r="USV2" s="13"/>
      <c r="USW2" s="13"/>
      <c r="USX2" s="13"/>
      <c r="USY2" s="13"/>
      <c r="USZ2" s="13"/>
      <c r="UTA2" s="13"/>
      <c r="UTB2" s="13"/>
      <c r="UTC2" s="13"/>
      <c r="UTD2" s="13"/>
      <c r="UTE2" s="13"/>
      <c r="UTF2" s="13"/>
      <c r="UTG2" s="13"/>
      <c r="UTH2" s="13"/>
      <c r="UTI2" s="13"/>
      <c r="UTJ2" s="13"/>
      <c r="UTK2" s="13"/>
      <c r="UTL2" s="13"/>
      <c r="UTM2" s="13"/>
      <c r="UTN2" s="13"/>
      <c r="UTO2" s="13"/>
      <c r="UTP2" s="13"/>
      <c r="UTQ2" s="13"/>
      <c r="UTR2" s="13"/>
      <c r="UTS2" s="13"/>
      <c r="UTT2" s="13"/>
      <c r="UTU2" s="13"/>
      <c r="UTV2" s="13"/>
      <c r="UTW2" s="13"/>
      <c r="UTX2" s="13"/>
      <c r="UTY2" s="13"/>
      <c r="UTZ2" s="13"/>
      <c r="UUA2" s="13"/>
      <c r="UUB2" s="13"/>
      <c r="UUC2" s="13"/>
      <c r="UUD2" s="13"/>
      <c r="UUE2" s="13"/>
      <c r="UUF2" s="13"/>
      <c r="UUG2" s="13"/>
      <c r="UUH2" s="13"/>
      <c r="UUI2" s="13"/>
      <c r="UUJ2" s="13"/>
      <c r="UUK2" s="13"/>
      <c r="UUL2" s="13"/>
      <c r="UUM2" s="13"/>
      <c r="UUN2" s="13"/>
      <c r="UUO2" s="13"/>
      <c r="UUP2" s="13"/>
      <c r="UUQ2" s="13"/>
      <c r="UUR2" s="13"/>
      <c r="UUS2" s="13"/>
      <c r="UUT2" s="13"/>
      <c r="UUU2" s="13"/>
      <c r="UUV2" s="13"/>
      <c r="UUW2" s="13"/>
      <c r="UUX2" s="13"/>
      <c r="UUY2" s="13"/>
      <c r="UUZ2" s="13"/>
      <c r="UVA2" s="13"/>
      <c r="UVB2" s="13"/>
      <c r="UVC2" s="13"/>
      <c r="UVD2" s="13"/>
      <c r="UVE2" s="13"/>
      <c r="UVF2" s="13"/>
      <c r="UVG2" s="13"/>
      <c r="UVH2" s="13"/>
      <c r="UVI2" s="13"/>
      <c r="UVJ2" s="13"/>
      <c r="UVK2" s="13"/>
      <c r="UVL2" s="13"/>
      <c r="UVM2" s="13"/>
      <c r="UVN2" s="13"/>
      <c r="UVO2" s="13"/>
      <c r="UVP2" s="13"/>
      <c r="UVQ2" s="13"/>
      <c r="UVR2" s="13"/>
      <c r="UVS2" s="13"/>
      <c r="UVT2" s="13"/>
      <c r="UVU2" s="13"/>
      <c r="UVV2" s="13"/>
      <c r="UVW2" s="13"/>
      <c r="UVX2" s="13"/>
      <c r="UVY2" s="13"/>
      <c r="UVZ2" s="13"/>
      <c r="UWA2" s="13"/>
      <c r="UWB2" s="13"/>
      <c r="UWC2" s="13"/>
      <c r="UWD2" s="13"/>
      <c r="UWE2" s="13"/>
      <c r="UWF2" s="13"/>
      <c r="UWG2" s="13"/>
      <c r="UWH2" s="13"/>
      <c r="UWI2" s="13"/>
      <c r="UWJ2" s="13"/>
      <c r="UWK2" s="13"/>
      <c r="UWL2" s="13"/>
      <c r="UWM2" s="13"/>
      <c r="UWN2" s="13"/>
      <c r="UWO2" s="13"/>
      <c r="UWP2" s="13"/>
      <c r="UWQ2" s="13"/>
      <c r="UWR2" s="13"/>
      <c r="UWS2" s="13"/>
      <c r="UWT2" s="13"/>
      <c r="UWU2" s="13"/>
      <c r="UWV2" s="13"/>
      <c r="UWW2" s="13"/>
      <c r="UWX2" s="13"/>
      <c r="UWY2" s="13"/>
      <c r="UWZ2" s="13"/>
      <c r="UXA2" s="13"/>
      <c r="UXB2" s="13"/>
      <c r="UXC2" s="13"/>
      <c r="UXD2" s="13"/>
      <c r="UXE2" s="13"/>
      <c r="UXF2" s="13"/>
      <c r="UXG2" s="13"/>
      <c r="UXH2" s="13"/>
      <c r="UXI2" s="13"/>
      <c r="UXJ2" s="13"/>
      <c r="UXK2" s="13"/>
      <c r="UXL2" s="13"/>
      <c r="UXM2" s="13"/>
      <c r="UXN2" s="13"/>
      <c r="UXO2" s="13"/>
      <c r="UXP2" s="13"/>
      <c r="UXQ2" s="13"/>
      <c r="UXR2" s="13"/>
      <c r="UXS2" s="13"/>
      <c r="UXT2" s="13"/>
      <c r="UXU2" s="13"/>
      <c r="UXV2" s="13"/>
      <c r="UXW2" s="13"/>
      <c r="UXX2" s="13"/>
      <c r="UXY2" s="13"/>
      <c r="UXZ2" s="13"/>
      <c r="UYA2" s="13"/>
      <c r="UYB2" s="13"/>
      <c r="UYC2" s="13"/>
      <c r="UYD2" s="13"/>
      <c r="UYE2" s="13"/>
      <c r="UYF2" s="13"/>
      <c r="UYG2" s="13"/>
      <c r="UYH2" s="13"/>
      <c r="UYI2" s="13"/>
      <c r="UYJ2" s="13"/>
      <c r="UYK2" s="13"/>
      <c r="UYL2" s="13"/>
      <c r="UYM2" s="13"/>
      <c r="UYN2" s="13"/>
      <c r="UYO2" s="13"/>
      <c r="UYP2" s="13"/>
      <c r="UYQ2" s="13"/>
      <c r="UYR2" s="13"/>
      <c r="UYS2" s="13"/>
      <c r="UYT2" s="13"/>
      <c r="UYU2" s="13"/>
      <c r="UYV2" s="13"/>
      <c r="UYW2" s="13"/>
      <c r="UYX2" s="13"/>
      <c r="UYY2" s="13"/>
      <c r="UYZ2" s="13"/>
      <c r="UZA2" s="13"/>
      <c r="UZB2" s="13"/>
      <c r="UZC2" s="13"/>
      <c r="UZD2" s="13"/>
      <c r="UZE2" s="13"/>
      <c r="UZF2" s="13"/>
      <c r="UZG2" s="13"/>
      <c r="UZH2" s="13"/>
      <c r="UZI2" s="13"/>
      <c r="UZJ2" s="13"/>
      <c r="UZK2" s="13"/>
      <c r="UZL2" s="13"/>
      <c r="UZM2" s="13"/>
      <c r="UZN2" s="13"/>
      <c r="UZO2" s="13"/>
      <c r="UZP2" s="13"/>
      <c r="UZQ2" s="13"/>
      <c r="UZR2" s="13"/>
      <c r="UZS2" s="13"/>
      <c r="UZT2" s="13"/>
      <c r="UZU2" s="13"/>
      <c r="UZV2" s="13"/>
      <c r="UZW2" s="13"/>
      <c r="UZX2" s="13"/>
      <c r="UZY2" s="13"/>
      <c r="UZZ2" s="13"/>
      <c r="VAA2" s="13"/>
      <c r="VAB2" s="13"/>
      <c r="VAC2" s="13"/>
      <c r="VAD2" s="13"/>
      <c r="VAE2" s="13"/>
      <c r="VAF2" s="13"/>
      <c r="VAG2" s="13"/>
      <c r="VAH2" s="13"/>
      <c r="VAI2" s="13"/>
      <c r="VAJ2" s="13"/>
      <c r="VAK2" s="13"/>
      <c r="VAL2" s="13"/>
      <c r="VAM2" s="13"/>
      <c r="VAN2" s="13"/>
      <c r="VAO2" s="13"/>
      <c r="VAP2" s="13"/>
      <c r="VAQ2" s="13"/>
      <c r="VAR2" s="13"/>
      <c r="VAS2" s="13"/>
      <c r="VAT2" s="13"/>
      <c r="VAU2" s="13"/>
      <c r="VAV2" s="13"/>
      <c r="VAW2" s="13"/>
      <c r="VAX2" s="13"/>
      <c r="VAY2" s="13"/>
      <c r="VAZ2" s="13"/>
      <c r="VBA2" s="13"/>
      <c r="VBB2" s="13"/>
      <c r="VBC2" s="13"/>
      <c r="VBD2" s="13"/>
      <c r="VBE2" s="13"/>
      <c r="VBF2" s="13"/>
      <c r="VBG2" s="13"/>
      <c r="VBH2" s="13"/>
      <c r="VBI2" s="13"/>
      <c r="VBJ2" s="13"/>
      <c r="VBK2" s="13"/>
      <c r="VBL2" s="13"/>
      <c r="VBM2" s="13"/>
      <c r="VBN2" s="13"/>
      <c r="VBO2" s="13"/>
      <c r="VBP2" s="13"/>
      <c r="VBQ2" s="13"/>
      <c r="VBR2" s="13"/>
      <c r="VBS2" s="13"/>
      <c r="VBT2" s="13"/>
      <c r="VBU2" s="13"/>
      <c r="VBV2" s="13"/>
      <c r="VBW2" s="13"/>
      <c r="VBX2" s="13"/>
      <c r="VBY2" s="13"/>
      <c r="VBZ2" s="13"/>
      <c r="VCA2" s="13"/>
      <c r="VCB2" s="13"/>
      <c r="VCC2" s="13"/>
      <c r="VCD2" s="13"/>
      <c r="VCE2" s="13"/>
      <c r="VCF2" s="13"/>
      <c r="VCG2" s="13"/>
      <c r="VCH2" s="13"/>
      <c r="VCI2" s="13"/>
      <c r="VCJ2" s="13"/>
      <c r="VCK2" s="13"/>
      <c r="VCL2" s="13"/>
      <c r="VCM2" s="13"/>
      <c r="VCN2" s="13"/>
      <c r="VCO2" s="13"/>
      <c r="VCP2" s="13"/>
      <c r="VCQ2" s="13"/>
      <c r="VCR2" s="13"/>
      <c r="VCS2" s="13"/>
      <c r="VCT2" s="13"/>
      <c r="VCU2" s="13"/>
      <c r="VCV2" s="13"/>
      <c r="VCW2" s="13"/>
      <c r="VCX2" s="13"/>
      <c r="VCY2" s="13"/>
      <c r="VCZ2" s="13"/>
      <c r="VDA2" s="13"/>
      <c r="VDB2" s="13"/>
      <c r="VDC2" s="13"/>
      <c r="VDD2" s="13"/>
      <c r="VDE2" s="13"/>
      <c r="VDF2" s="13"/>
      <c r="VDG2" s="13"/>
      <c r="VDH2" s="13"/>
      <c r="VDI2" s="13"/>
      <c r="VDJ2" s="13"/>
      <c r="VDK2" s="13"/>
      <c r="VDL2" s="13"/>
      <c r="VDM2" s="13"/>
      <c r="VDN2" s="13"/>
      <c r="VDO2" s="13"/>
      <c r="VDP2" s="13"/>
      <c r="VDQ2" s="13"/>
      <c r="VDR2" s="13"/>
      <c r="VDS2" s="13"/>
      <c r="VDT2" s="13"/>
      <c r="VDU2" s="13"/>
      <c r="VDV2" s="13"/>
      <c r="VDW2" s="13"/>
      <c r="VDX2" s="13"/>
      <c r="VDY2" s="13"/>
      <c r="VDZ2" s="13"/>
      <c r="VEA2" s="13"/>
      <c r="VEB2" s="13"/>
      <c r="VEC2" s="13"/>
      <c r="VED2" s="13"/>
      <c r="VEE2" s="13"/>
      <c r="VEF2" s="13"/>
      <c r="VEG2" s="13"/>
      <c r="VEH2" s="13"/>
      <c r="VEI2" s="13"/>
      <c r="VEJ2" s="13"/>
      <c r="VEK2" s="13"/>
      <c r="VEL2" s="13"/>
      <c r="VEM2" s="13"/>
      <c r="VEN2" s="13"/>
      <c r="VEO2" s="13"/>
      <c r="VEP2" s="13"/>
      <c r="VEQ2" s="13"/>
      <c r="VER2" s="13"/>
      <c r="VES2" s="13"/>
      <c r="VET2" s="13"/>
      <c r="VEU2" s="13"/>
      <c r="VEV2" s="13"/>
      <c r="VEW2" s="13"/>
      <c r="VEX2" s="13"/>
      <c r="VEY2" s="13"/>
      <c r="VEZ2" s="13"/>
      <c r="VFA2" s="13"/>
      <c r="VFB2" s="13"/>
      <c r="VFC2" s="13"/>
      <c r="VFD2" s="13"/>
      <c r="VFE2" s="13"/>
      <c r="VFF2" s="13"/>
      <c r="VFG2" s="13"/>
      <c r="VFH2" s="13"/>
      <c r="VFI2" s="13"/>
      <c r="VFJ2" s="13"/>
      <c r="VFK2" s="13"/>
      <c r="VFL2" s="13"/>
      <c r="VFM2" s="13"/>
      <c r="VFN2" s="13"/>
      <c r="VFO2" s="13"/>
      <c r="VFP2" s="13"/>
      <c r="VFQ2" s="13"/>
      <c r="VFR2" s="13"/>
      <c r="VFS2" s="13"/>
      <c r="VFT2" s="13"/>
      <c r="VFU2" s="13"/>
      <c r="VFV2" s="13"/>
      <c r="VFW2" s="13"/>
      <c r="VFX2" s="13"/>
      <c r="VFY2" s="13"/>
      <c r="VFZ2" s="13"/>
      <c r="VGA2" s="13"/>
      <c r="VGB2" s="13"/>
      <c r="VGC2" s="13"/>
      <c r="VGD2" s="13"/>
      <c r="VGE2" s="13"/>
      <c r="VGF2" s="13"/>
      <c r="VGG2" s="13"/>
      <c r="VGH2" s="13"/>
      <c r="VGI2" s="13"/>
      <c r="VGJ2" s="13"/>
      <c r="VGK2" s="13"/>
      <c r="VGL2" s="13"/>
      <c r="VGM2" s="13"/>
      <c r="VGN2" s="13"/>
      <c r="VGO2" s="13"/>
      <c r="VGP2" s="13"/>
      <c r="VGQ2" s="13"/>
      <c r="VGR2" s="13"/>
      <c r="VGS2" s="13"/>
      <c r="VGT2" s="13"/>
      <c r="VGU2" s="13"/>
      <c r="VGV2" s="13"/>
      <c r="VGW2" s="13"/>
      <c r="VGX2" s="13"/>
      <c r="VGY2" s="13"/>
      <c r="VGZ2" s="13"/>
      <c r="VHA2" s="13"/>
      <c r="VHB2" s="13"/>
      <c r="VHC2" s="13"/>
      <c r="VHD2" s="13"/>
      <c r="VHE2" s="13"/>
      <c r="VHF2" s="13"/>
      <c r="VHG2" s="13"/>
      <c r="VHH2" s="13"/>
      <c r="VHI2" s="13"/>
      <c r="VHJ2" s="13"/>
      <c r="VHK2" s="13"/>
      <c r="VHL2" s="13"/>
      <c r="VHM2" s="13"/>
      <c r="VHN2" s="13"/>
      <c r="VHO2" s="13"/>
      <c r="VHP2" s="13"/>
      <c r="VHQ2" s="13"/>
      <c r="VHR2" s="13"/>
      <c r="VHS2" s="13"/>
      <c r="VHT2" s="13"/>
      <c r="VHU2" s="13"/>
      <c r="VHV2" s="13"/>
      <c r="VHW2" s="13"/>
      <c r="VHX2" s="13"/>
      <c r="VHY2" s="13"/>
      <c r="VHZ2" s="13"/>
      <c r="VIA2" s="13"/>
      <c r="VIB2" s="13"/>
      <c r="VIC2" s="13"/>
      <c r="VID2" s="13"/>
      <c r="VIE2" s="13"/>
      <c r="VIF2" s="13"/>
      <c r="VIG2" s="13"/>
      <c r="VIH2" s="13"/>
      <c r="VII2" s="13"/>
      <c r="VIJ2" s="13"/>
      <c r="VIK2" s="13"/>
      <c r="VIL2" s="13"/>
      <c r="VIM2" s="13"/>
      <c r="VIN2" s="13"/>
      <c r="VIO2" s="13"/>
      <c r="VIP2" s="13"/>
      <c r="VIQ2" s="13"/>
      <c r="VIR2" s="13"/>
      <c r="VIS2" s="13"/>
      <c r="VIT2" s="13"/>
      <c r="VIU2" s="13"/>
      <c r="VIV2" s="13"/>
      <c r="VIW2" s="13"/>
      <c r="VIX2" s="13"/>
      <c r="VIY2" s="13"/>
      <c r="VIZ2" s="13"/>
      <c r="VJA2" s="13"/>
      <c r="VJB2" s="13"/>
      <c r="VJC2" s="13"/>
      <c r="VJD2" s="13"/>
      <c r="VJE2" s="13"/>
      <c r="VJF2" s="13"/>
      <c r="VJG2" s="13"/>
      <c r="VJH2" s="13"/>
      <c r="VJI2" s="13"/>
      <c r="VJJ2" s="13"/>
      <c r="VJK2" s="13"/>
      <c r="VJL2" s="13"/>
      <c r="VJM2" s="13"/>
      <c r="VJN2" s="13"/>
      <c r="VJO2" s="13"/>
      <c r="VJP2" s="13"/>
      <c r="VJQ2" s="13"/>
      <c r="VJR2" s="13"/>
      <c r="VJS2" s="13"/>
      <c r="VJT2" s="13"/>
      <c r="VJU2" s="13"/>
      <c r="VJV2" s="13"/>
      <c r="VJW2" s="13"/>
      <c r="VJX2" s="13"/>
      <c r="VJY2" s="13"/>
      <c r="VJZ2" s="13"/>
      <c r="VKA2" s="13"/>
      <c r="VKB2" s="13"/>
      <c r="VKC2" s="13"/>
      <c r="VKD2" s="13"/>
      <c r="VKE2" s="13"/>
      <c r="VKF2" s="13"/>
      <c r="VKG2" s="13"/>
      <c r="VKH2" s="13"/>
      <c r="VKI2" s="13"/>
      <c r="VKJ2" s="13"/>
      <c r="VKK2" s="13"/>
      <c r="VKL2" s="13"/>
      <c r="VKM2" s="13"/>
      <c r="VKN2" s="13"/>
      <c r="VKO2" s="13"/>
      <c r="VKP2" s="13"/>
      <c r="VKQ2" s="13"/>
      <c r="VKR2" s="13"/>
      <c r="VKS2" s="13"/>
      <c r="VKT2" s="13"/>
      <c r="VKU2" s="13"/>
      <c r="VKV2" s="13"/>
      <c r="VKW2" s="13"/>
      <c r="VKX2" s="13"/>
      <c r="VKY2" s="13"/>
      <c r="VKZ2" s="13"/>
      <c r="VLA2" s="13"/>
      <c r="VLB2" s="13"/>
      <c r="VLC2" s="13"/>
      <c r="VLD2" s="13"/>
      <c r="VLE2" s="13"/>
      <c r="VLF2" s="13"/>
      <c r="VLG2" s="13"/>
      <c r="VLH2" s="13"/>
      <c r="VLI2" s="13"/>
      <c r="VLJ2" s="13"/>
      <c r="VLK2" s="13"/>
      <c r="VLL2" s="13"/>
      <c r="VLM2" s="13"/>
      <c r="VLN2" s="13"/>
      <c r="VLO2" s="13"/>
      <c r="VLP2" s="13"/>
      <c r="VLQ2" s="13"/>
      <c r="VLR2" s="13"/>
      <c r="VLS2" s="13"/>
      <c r="VLT2" s="13"/>
      <c r="VLU2" s="13"/>
      <c r="VLV2" s="13"/>
      <c r="VLW2" s="13"/>
      <c r="VLX2" s="13"/>
      <c r="VLY2" s="13"/>
      <c r="VLZ2" s="13"/>
      <c r="VMA2" s="13"/>
      <c r="VMB2" s="13"/>
      <c r="VMC2" s="13"/>
      <c r="VMD2" s="13"/>
      <c r="VME2" s="13"/>
      <c r="VMF2" s="13"/>
      <c r="VMG2" s="13"/>
      <c r="VMH2" s="13"/>
      <c r="VMI2" s="13"/>
      <c r="VMJ2" s="13"/>
      <c r="VMK2" s="13"/>
      <c r="VML2" s="13"/>
      <c r="VMM2" s="13"/>
      <c r="VMN2" s="13"/>
      <c r="VMO2" s="13"/>
      <c r="VMP2" s="13"/>
      <c r="VMQ2" s="13"/>
      <c r="VMR2" s="13"/>
      <c r="VMS2" s="13"/>
      <c r="VMT2" s="13"/>
      <c r="VMU2" s="13"/>
      <c r="VMV2" s="13"/>
      <c r="VMW2" s="13"/>
      <c r="VMX2" s="13"/>
      <c r="VMY2" s="13"/>
      <c r="VMZ2" s="13"/>
      <c r="VNA2" s="13"/>
      <c r="VNB2" s="13"/>
      <c r="VNC2" s="13"/>
      <c r="VND2" s="13"/>
      <c r="VNE2" s="13"/>
      <c r="VNF2" s="13"/>
      <c r="VNG2" s="13"/>
      <c r="VNH2" s="13"/>
      <c r="VNI2" s="13"/>
      <c r="VNJ2" s="13"/>
      <c r="VNK2" s="13"/>
      <c r="VNL2" s="13"/>
      <c r="VNM2" s="13"/>
      <c r="VNN2" s="13"/>
      <c r="VNO2" s="13"/>
      <c r="VNP2" s="13"/>
      <c r="VNQ2" s="13"/>
      <c r="VNR2" s="13"/>
      <c r="VNS2" s="13"/>
      <c r="VNT2" s="13"/>
      <c r="VNU2" s="13"/>
      <c r="VNV2" s="13"/>
      <c r="VNW2" s="13"/>
      <c r="VNX2" s="13"/>
      <c r="VNY2" s="13"/>
      <c r="VNZ2" s="13"/>
      <c r="VOA2" s="13"/>
      <c r="VOB2" s="13"/>
      <c r="VOC2" s="13"/>
      <c r="VOD2" s="13"/>
      <c r="VOE2" s="13"/>
      <c r="VOF2" s="13"/>
      <c r="VOG2" s="13"/>
      <c r="VOH2" s="13"/>
      <c r="VOI2" s="13"/>
      <c r="VOJ2" s="13"/>
      <c r="VOK2" s="13"/>
      <c r="VOL2" s="13"/>
      <c r="VOM2" s="13"/>
      <c r="VON2" s="13"/>
      <c r="VOO2" s="13"/>
      <c r="VOP2" s="13"/>
      <c r="VOQ2" s="13"/>
      <c r="VOR2" s="13"/>
      <c r="VOS2" s="13"/>
      <c r="VOT2" s="13"/>
      <c r="VOU2" s="13"/>
      <c r="VOV2" s="13"/>
      <c r="VOW2" s="13"/>
      <c r="VOX2" s="13"/>
      <c r="VOY2" s="13"/>
      <c r="VOZ2" s="13"/>
      <c r="VPA2" s="13"/>
      <c r="VPB2" s="13"/>
      <c r="VPC2" s="13"/>
      <c r="VPD2" s="13"/>
      <c r="VPE2" s="13"/>
      <c r="VPF2" s="13"/>
      <c r="VPG2" s="13"/>
      <c r="VPH2" s="13"/>
      <c r="VPI2" s="13"/>
      <c r="VPJ2" s="13"/>
      <c r="VPK2" s="13"/>
      <c r="VPL2" s="13"/>
      <c r="VPM2" s="13"/>
      <c r="VPN2" s="13"/>
      <c r="VPO2" s="13"/>
      <c r="VPP2" s="13"/>
      <c r="VPQ2" s="13"/>
      <c r="VPR2" s="13"/>
      <c r="VPS2" s="13"/>
      <c r="VPT2" s="13"/>
      <c r="VPU2" s="13"/>
      <c r="VPV2" s="13"/>
      <c r="VPW2" s="13"/>
      <c r="VPX2" s="13"/>
      <c r="VPY2" s="13"/>
      <c r="VPZ2" s="13"/>
      <c r="VQA2" s="13"/>
      <c r="VQB2" s="13"/>
      <c r="VQC2" s="13"/>
      <c r="VQD2" s="13"/>
      <c r="VQE2" s="13"/>
      <c r="VQF2" s="13"/>
      <c r="VQG2" s="13"/>
      <c r="VQH2" s="13"/>
      <c r="VQI2" s="13"/>
      <c r="VQJ2" s="13"/>
      <c r="VQK2" s="13"/>
      <c r="VQL2" s="13"/>
      <c r="VQM2" s="13"/>
      <c r="VQN2" s="13"/>
      <c r="VQO2" s="13"/>
      <c r="VQP2" s="13"/>
      <c r="VQQ2" s="13"/>
      <c r="VQR2" s="13"/>
      <c r="VQS2" s="13"/>
      <c r="VQT2" s="13"/>
      <c r="VQU2" s="13"/>
      <c r="VQV2" s="13"/>
      <c r="VQW2" s="13"/>
      <c r="VQX2" s="13"/>
      <c r="VQY2" s="13"/>
      <c r="VQZ2" s="13"/>
      <c r="VRA2" s="13"/>
      <c r="VRB2" s="13"/>
      <c r="VRC2" s="13"/>
      <c r="VRD2" s="13"/>
      <c r="VRE2" s="13"/>
      <c r="VRF2" s="13"/>
      <c r="VRG2" s="13"/>
      <c r="VRH2" s="13"/>
      <c r="VRI2" s="13"/>
      <c r="VRJ2" s="13"/>
      <c r="VRK2" s="13"/>
      <c r="VRL2" s="13"/>
      <c r="VRM2" s="13"/>
      <c r="VRN2" s="13"/>
      <c r="VRO2" s="13"/>
      <c r="VRP2" s="13"/>
      <c r="VRQ2" s="13"/>
      <c r="VRR2" s="13"/>
      <c r="VRS2" s="13"/>
      <c r="VRT2" s="13"/>
      <c r="VRU2" s="13"/>
      <c r="VRV2" s="13"/>
      <c r="VRW2" s="13"/>
      <c r="VRX2" s="13"/>
      <c r="VRY2" s="13"/>
      <c r="VRZ2" s="13"/>
      <c r="VSA2" s="13"/>
      <c r="VSB2" s="13"/>
      <c r="VSC2" s="13"/>
      <c r="VSD2" s="13"/>
      <c r="VSE2" s="13"/>
      <c r="VSF2" s="13"/>
      <c r="VSG2" s="13"/>
      <c r="VSH2" s="13"/>
      <c r="VSI2" s="13"/>
      <c r="VSJ2" s="13"/>
      <c r="VSK2" s="13"/>
      <c r="VSL2" s="13"/>
      <c r="VSM2" s="13"/>
      <c r="VSN2" s="13"/>
      <c r="VSO2" s="13"/>
      <c r="VSP2" s="13"/>
      <c r="VSQ2" s="13"/>
      <c r="VSR2" s="13"/>
      <c r="VSS2" s="13"/>
      <c r="VST2" s="13"/>
      <c r="VSU2" s="13"/>
      <c r="VSV2" s="13"/>
      <c r="VSW2" s="13"/>
      <c r="VSX2" s="13"/>
      <c r="VSY2" s="13"/>
      <c r="VSZ2" s="13"/>
      <c r="VTA2" s="13"/>
      <c r="VTB2" s="13"/>
      <c r="VTC2" s="13"/>
      <c r="VTD2" s="13"/>
      <c r="VTE2" s="13"/>
      <c r="VTF2" s="13"/>
      <c r="VTG2" s="13"/>
      <c r="VTH2" s="13"/>
      <c r="VTI2" s="13"/>
      <c r="VTJ2" s="13"/>
      <c r="VTK2" s="13"/>
      <c r="VTL2" s="13"/>
      <c r="VTM2" s="13"/>
      <c r="VTN2" s="13"/>
      <c r="VTO2" s="13"/>
      <c r="VTP2" s="13"/>
      <c r="VTQ2" s="13"/>
      <c r="VTR2" s="13"/>
      <c r="VTS2" s="13"/>
      <c r="VTT2" s="13"/>
      <c r="VTU2" s="13"/>
      <c r="VTV2" s="13"/>
      <c r="VTW2" s="13"/>
      <c r="VTX2" s="13"/>
      <c r="VTY2" s="13"/>
      <c r="VTZ2" s="13"/>
      <c r="VUA2" s="13"/>
      <c r="VUB2" s="13"/>
      <c r="VUC2" s="13"/>
      <c r="VUD2" s="13"/>
      <c r="VUE2" s="13"/>
      <c r="VUF2" s="13"/>
      <c r="VUG2" s="13"/>
      <c r="VUH2" s="13"/>
      <c r="VUI2" s="13"/>
      <c r="VUJ2" s="13"/>
      <c r="VUK2" s="13"/>
      <c r="VUL2" s="13"/>
      <c r="VUM2" s="13"/>
      <c r="VUN2" s="13"/>
      <c r="VUO2" s="13"/>
      <c r="VUP2" s="13"/>
      <c r="VUQ2" s="13"/>
      <c r="VUR2" s="13"/>
      <c r="VUS2" s="13"/>
      <c r="VUT2" s="13"/>
      <c r="VUU2" s="13"/>
      <c r="VUV2" s="13"/>
      <c r="VUW2" s="13"/>
      <c r="VUX2" s="13"/>
      <c r="VUY2" s="13"/>
      <c r="VUZ2" s="13"/>
      <c r="VVA2" s="13"/>
      <c r="VVB2" s="13"/>
      <c r="VVC2" s="13"/>
      <c r="VVD2" s="13"/>
      <c r="VVE2" s="13"/>
      <c r="VVF2" s="13"/>
      <c r="VVG2" s="13"/>
      <c r="VVH2" s="13"/>
      <c r="VVI2" s="13"/>
      <c r="VVJ2" s="13"/>
      <c r="VVK2" s="13"/>
      <c r="VVL2" s="13"/>
      <c r="VVM2" s="13"/>
      <c r="VVN2" s="13"/>
      <c r="VVO2" s="13"/>
      <c r="VVP2" s="13"/>
      <c r="VVQ2" s="13"/>
      <c r="VVR2" s="13"/>
      <c r="VVS2" s="13"/>
      <c r="VVT2" s="13"/>
      <c r="VVU2" s="13"/>
      <c r="VVV2" s="13"/>
      <c r="VVW2" s="13"/>
      <c r="VVX2" s="13"/>
      <c r="VVY2" s="13"/>
      <c r="VVZ2" s="13"/>
      <c r="VWA2" s="13"/>
      <c r="VWB2" s="13"/>
      <c r="VWC2" s="13"/>
      <c r="VWD2" s="13"/>
      <c r="VWE2" s="13"/>
      <c r="VWF2" s="13"/>
      <c r="VWG2" s="13"/>
      <c r="VWH2" s="13"/>
      <c r="VWI2" s="13"/>
      <c r="VWJ2" s="13"/>
      <c r="VWK2" s="13"/>
      <c r="VWL2" s="13"/>
      <c r="VWM2" s="13"/>
      <c r="VWN2" s="13"/>
      <c r="VWO2" s="13"/>
      <c r="VWP2" s="13"/>
      <c r="VWQ2" s="13"/>
      <c r="VWR2" s="13"/>
      <c r="VWS2" s="13"/>
      <c r="VWT2" s="13"/>
      <c r="VWU2" s="13"/>
      <c r="VWV2" s="13"/>
      <c r="VWW2" s="13"/>
      <c r="VWX2" s="13"/>
      <c r="VWY2" s="13"/>
      <c r="VWZ2" s="13"/>
      <c r="VXA2" s="13"/>
      <c r="VXB2" s="13"/>
      <c r="VXC2" s="13"/>
      <c r="VXD2" s="13"/>
      <c r="VXE2" s="13"/>
      <c r="VXF2" s="13"/>
      <c r="VXG2" s="13"/>
      <c r="VXH2" s="13"/>
      <c r="VXI2" s="13"/>
      <c r="VXJ2" s="13"/>
      <c r="VXK2" s="13"/>
      <c r="VXL2" s="13"/>
      <c r="VXM2" s="13"/>
      <c r="VXN2" s="13"/>
      <c r="VXO2" s="13"/>
      <c r="VXP2" s="13"/>
      <c r="VXQ2" s="13"/>
      <c r="VXR2" s="13"/>
      <c r="VXS2" s="13"/>
      <c r="VXT2" s="13"/>
      <c r="VXU2" s="13"/>
      <c r="VXV2" s="13"/>
      <c r="VXW2" s="13"/>
      <c r="VXX2" s="13"/>
      <c r="VXY2" s="13"/>
      <c r="VXZ2" s="13"/>
      <c r="VYA2" s="13"/>
      <c r="VYB2" s="13"/>
      <c r="VYC2" s="13"/>
      <c r="VYD2" s="13"/>
      <c r="VYE2" s="13"/>
      <c r="VYF2" s="13"/>
      <c r="VYG2" s="13"/>
      <c r="VYH2" s="13"/>
      <c r="VYI2" s="13"/>
      <c r="VYJ2" s="13"/>
      <c r="VYK2" s="13"/>
      <c r="VYL2" s="13"/>
      <c r="VYM2" s="13"/>
      <c r="VYN2" s="13"/>
      <c r="VYO2" s="13"/>
      <c r="VYP2" s="13"/>
      <c r="VYQ2" s="13"/>
      <c r="VYR2" s="13"/>
      <c r="VYS2" s="13"/>
      <c r="VYT2" s="13"/>
      <c r="VYU2" s="13"/>
      <c r="VYV2" s="13"/>
      <c r="VYW2" s="13"/>
      <c r="VYX2" s="13"/>
      <c r="VYY2" s="13"/>
      <c r="VYZ2" s="13"/>
      <c r="VZA2" s="13"/>
      <c r="VZB2" s="13"/>
      <c r="VZC2" s="13"/>
      <c r="VZD2" s="13"/>
      <c r="VZE2" s="13"/>
      <c r="VZF2" s="13"/>
      <c r="VZG2" s="13"/>
      <c r="VZH2" s="13"/>
      <c r="VZI2" s="13"/>
      <c r="VZJ2" s="13"/>
      <c r="VZK2" s="13"/>
      <c r="VZL2" s="13"/>
      <c r="VZM2" s="13"/>
      <c r="VZN2" s="13"/>
      <c r="VZO2" s="13"/>
      <c r="VZP2" s="13"/>
      <c r="VZQ2" s="13"/>
      <c r="VZR2" s="13"/>
      <c r="VZS2" s="13"/>
      <c r="VZT2" s="13"/>
      <c r="VZU2" s="13"/>
      <c r="VZV2" s="13"/>
      <c r="VZW2" s="13"/>
      <c r="VZX2" s="13"/>
      <c r="VZY2" s="13"/>
      <c r="VZZ2" s="13"/>
      <c r="WAA2" s="13"/>
      <c r="WAB2" s="13"/>
      <c r="WAC2" s="13"/>
      <c r="WAD2" s="13"/>
      <c r="WAE2" s="13"/>
      <c r="WAF2" s="13"/>
      <c r="WAG2" s="13"/>
      <c r="WAH2" s="13"/>
      <c r="WAI2" s="13"/>
      <c r="WAJ2" s="13"/>
      <c r="WAK2" s="13"/>
      <c r="WAL2" s="13"/>
      <c r="WAM2" s="13"/>
      <c r="WAN2" s="13"/>
      <c r="WAO2" s="13"/>
      <c r="WAP2" s="13"/>
      <c r="WAQ2" s="13"/>
      <c r="WAR2" s="13"/>
      <c r="WAS2" s="13"/>
      <c r="WAT2" s="13"/>
      <c r="WAU2" s="13"/>
      <c r="WAV2" s="13"/>
      <c r="WAW2" s="13"/>
      <c r="WAX2" s="13"/>
      <c r="WAY2" s="13"/>
      <c r="WAZ2" s="13"/>
      <c r="WBA2" s="13"/>
      <c r="WBB2" s="13"/>
      <c r="WBC2" s="13"/>
      <c r="WBD2" s="13"/>
      <c r="WBE2" s="13"/>
      <c r="WBF2" s="13"/>
      <c r="WBG2" s="13"/>
      <c r="WBH2" s="13"/>
      <c r="WBI2" s="13"/>
      <c r="WBJ2" s="13"/>
      <c r="WBK2" s="13"/>
      <c r="WBL2" s="13"/>
      <c r="WBM2" s="13"/>
      <c r="WBN2" s="13"/>
      <c r="WBO2" s="13"/>
      <c r="WBP2" s="13"/>
      <c r="WBQ2" s="13"/>
      <c r="WBR2" s="13"/>
      <c r="WBS2" s="13"/>
      <c r="WBT2" s="13"/>
      <c r="WBU2" s="13"/>
      <c r="WBV2" s="13"/>
      <c r="WBW2" s="13"/>
      <c r="WBX2" s="13"/>
      <c r="WBY2" s="13"/>
      <c r="WBZ2" s="13"/>
      <c r="WCA2" s="13"/>
      <c r="WCB2" s="13"/>
      <c r="WCC2" s="13"/>
      <c r="WCD2" s="13"/>
      <c r="WCE2" s="13"/>
      <c r="WCF2" s="13"/>
      <c r="WCG2" s="13"/>
      <c r="WCH2" s="13"/>
      <c r="WCI2" s="13"/>
      <c r="WCJ2" s="13"/>
      <c r="WCK2" s="13"/>
      <c r="WCL2" s="13"/>
      <c r="WCM2" s="13"/>
      <c r="WCN2" s="13"/>
      <c r="WCO2" s="13"/>
      <c r="WCP2" s="13"/>
      <c r="WCQ2" s="13"/>
      <c r="WCR2" s="13"/>
      <c r="WCS2" s="13"/>
      <c r="WCT2" s="13"/>
      <c r="WCU2" s="13"/>
      <c r="WCV2" s="13"/>
      <c r="WCW2" s="13"/>
      <c r="WCX2" s="13"/>
      <c r="WCY2" s="13"/>
      <c r="WCZ2" s="13"/>
      <c r="WDA2" s="13"/>
      <c r="WDB2" s="13"/>
      <c r="WDC2" s="13"/>
      <c r="WDD2" s="13"/>
      <c r="WDE2" s="13"/>
      <c r="WDF2" s="13"/>
      <c r="WDG2" s="13"/>
      <c r="WDH2" s="13"/>
      <c r="WDI2" s="13"/>
      <c r="WDJ2" s="13"/>
      <c r="WDK2" s="13"/>
      <c r="WDL2" s="13"/>
      <c r="WDM2" s="13"/>
      <c r="WDN2" s="13"/>
      <c r="WDO2" s="13"/>
      <c r="WDP2" s="13"/>
      <c r="WDQ2" s="13"/>
      <c r="WDR2" s="13"/>
      <c r="WDS2" s="13"/>
      <c r="WDT2" s="13"/>
      <c r="WDU2" s="13"/>
      <c r="WDV2" s="13"/>
      <c r="WDW2" s="13"/>
      <c r="WDX2" s="13"/>
      <c r="WDY2" s="13"/>
      <c r="WDZ2" s="13"/>
      <c r="WEA2" s="13"/>
      <c r="WEB2" s="13"/>
      <c r="WEC2" s="13"/>
      <c r="WED2" s="13"/>
      <c r="WEE2" s="13"/>
      <c r="WEF2" s="13"/>
      <c r="WEG2" s="13"/>
      <c r="WEH2" s="13"/>
      <c r="WEI2" s="13"/>
      <c r="WEJ2" s="13"/>
      <c r="WEK2" s="13"/>
      <c r="WEL2" s="13"/>
      <c r="WEM2" s="13"/>
      <c r="WEN2" s="13"/>
      <c r="WEO2" s="13"/>
      <c r="WEP2" s="13"/>
      <c r="WEQ2" s="13"/>
      <c r="WER2" s="13"/>
      <c r="WES2" s="13"/>
      <c r="WET2" s="13"/>
      <c r="WEU2" s="13"/>
      <c r="WEV2" s="13"/>
      <c r="WEW2" s="13"/>
      <c r="WEX2" s="13"/>
      <c r="WEY2" s="13"/>
      <c r="WEZ2" s="13"/>
      <c r="WFA2" s="13"/>
      <c r="WFB2" s="13"/>
      <c r="WFC2" s="13"/>
      <c r="WFD2" s="13"/>
      <c r="WFE2" s="13"/>
      <c r="WFF2" s="13"/>
      <c r="WFG2" s="13"/>
      <c r="WFH2" s="13"/>
      <c r="WFI2" s="13"/>
      <c r="WFJ2" s="13"/>
      <c r="WFK2" s="13"/>
      <c r="WFL2" s="13"/>
      <c r="WFM2" s="13"/>
      <c r="WFN2" s="13"/>
      <c r="WFO2" s="13"/>
      <c r="WFP2" s="13"/>
      <c r="WFQ2" s="13"/>
      <c r="WFR2" s="13"/>
      <c r="WFS2" s="13"/>
      <c r="WFT2" s="13"/>
      <c r="WFU2" s="13"/>
      <c r="WFV2" s="13"/>
      <c r="WFW2" s="13"/>
      <c r="WFX2" s="13"/>
      <c r="WFY2" s="13"/>
      <c r="WFZ2" s="13"/>
      <c r="WGA2" s="13"/>
      <c r="WGB2" s="13"/>
      <c r="WGC2" s="13"/>
      <c r="WGD2" s="13"/>
      <c r="WGE2" s="13"/>
      <c r="WGF2" s="13"/>
      <c r="WGG2" s="13"/>
      <c r="WGH2" s="13"/>
      <c r="WGI2" s="13"/>
      <c r="WGJ2" s="13"/>
      <c r="WGK2" s="13"/>
      <c r="WGL2" s="13"/>
      <c r="WGM2" s="13"/>
      <c r="WGN2" s="13"/>
      <c r="WGO2" s="13"/>
      <c r="WGP2" s="13"/>
      <c r="WGQ2" s="13"/>
      <c r="WGR2" s="13"/>
      <c r="WGS2" s="13"/>
      <c r="WGT2" s="13"/>
      <c r="WGU2" s="13"/>
      <c r="WGV2" s="13"/>
      <c r="WGW2" s="13"/>
      <c r="WGX2" s="13"/>
      <c r="WGY2" s="13"/>
      <c r="WGZ2" s="13"/>
      <c r="WHA2" s="13"/>
      <c r="WHB2" s="13"/>
      <c r="WHC2" s="13"/>
      <c r="WHD2" s="13"/>
      <c r="WHE2" s="13"/>
      <c r="WHF2" s="13"/>
      <c r="WHG2" s="13"/>
      <c r="WHH2" s="13"/>
      <c r="WHI2" s="13"/>
      <c r="WHJ2" s="13"/>
      <c r="WHK2" s="13"/>
      <c r="WHL2" s="13"/>
      <c r="WHM2" s="13"/>
      <c r="WHN2" s="13"/>
      <c r="WHO2" s="13"/>
      <c r="WHP2" s="13"/>
      <c r="WHQ2" s="13"/>
      <c r="WHR2" s="13"/>
      <c r="WHS2" s="13"/>
      <c r="WHT2" s="13"/>
      <c r="WHU2" s="13"/>
      <c r="WHV2" s="13"/>
      <c r="WHW2" s="13"/>
      <c r="WHX2" s="13"/>
      <c r="WHY2" s="13"/>
      <c r="WHZ2" s="13"/>
      <c r="WIA2" s="13"/>
      <c r="WIB2" s="13"/>
      <c r="WIC2" s="13"/>
      <c r="WID2" s="13"/>
      <c r="WIE2" s="13"/>
      <c r="WIF2" s="13"/>
      <c r="WIG2" s="13"/>
      <c r="WIH2" s="13"/>
      <c r="WII2" s="13"/>
      <c r="WIJ2" s="13"/>
      <c r="WIK2" s="13"/>
      <c r="WIL2" s="13"/>
      <c r="WIM2" s="13"/>
      <c r="WIN2" s="13"/>
      <c r="WIO2" s="13"/>
      <c r="WIP2" s="13"/>
      <c r="WIQ2" s="13"/>
      <c r="WIR2" s="13"/>
      <c r="WIS2" s="13"/>
      <c r="WIT2" s="13"/>
      <c r="WIU2" s="13"/>
      <c r="WIV2" s="13"/>
      <c r="WIW2" s="13"/>
      <c r="WIX2" s="13"/>
      <c r="WIY2" s="13"/>
      <c r="WIZ2" s="13"/>
      <c r="WJA2" s="13"/>
      <c r="WJB2" s="13"/>
      <c r="WJC2" s="13"/>
      <c r="WJD2" s="13"/>
      <c r="WJE2" s="13"/>
      <c r="WJF2" s="13"/>
      <c r="WJG2" s="13"/>
      <c r="WJH2" s="13"/>
      <c r="WJI2" s="13"/>
      <c r="WJJ2" s="13"/>
      <c r="WJK2" s="13"/>
      <c r="WJL2" s="13"/>
      <c r="WJM2" s="13"/>
      <c r="WJN2" s="13"/>
      <c r="WJO2" s="13"/>
      <c r="WJP2" s="13"/>
      <c r="WJQ2" s="13"/>
      <c r="WJR2" s="13"/>
      <c r="WJS2" s="13"/>
      <c r="WJT2" s="13"/>
      <c r="WJU2" s="13"/>
      <c r="WJV2" s="13"/>
      <c r="WJW2" s="13"/>
      <c r="WJX2" s="13"/>
      <c r="WJY2" s="13"/>
      <c r="WJZ2" s="13"/>
      <c r="WKA2" s="13"/>
      <c r="WKB2" s="13"/>
      <c r="WKC2" s="13"/>
      <c r="WKD2" s="13"/>
      <c r="WKE2" s="13"/>
      <c r="WKF2" s="13"/>
      <c r="WKG2" s="13"/>
      <c r="WKH2" s="13"/>
      <c r="WKI2" s="13"/>
      <c r="WKJ2" s="13"/>
      <c r="WKK2" s="13"/>
      <c r="WKL2" s="13"/>
      <c r="WKM2" s="13"/>
      <c r="WKN2" s="13"/>
      <c r="WKO2" s="13"/>
      <c r="WKP2" s="13"/>
      <c r="WKQ2" s="13"/>
      <c r="WKR2" s="13"/>
      <c r="WKS2" s="13"/>
      <c r="WKT2" s="13"/>
      <c r="WKU2" s="13"/>
      <c r="WKV2" s="13"/>
      <c r="WKW2" s="13"/>
      <c r="WKX2" s="13"/>
      <c r="WKY2" s="13"/>
      <c r="WKZ2" s="13"/>
      <c r="WLA2" s="13"/>
      <c r="WLB2" s="13"/>
      <c r="WLC2" s="13"/>
      <c r="WLD2" s="13"/>
      <c r="WLE2" s="13"/>
      <c r="WLF2" s="13"/>
      <c r="WLG2" s="13"/>
      <c r="WLH2" s="13"/>
      <c r="WLI2" s="13"/>
      <c r="WLJ2" s="13"/>
      <c r="WLK2" s="13"/>
      <c r="WLL2" s="13"/>
      <c r="WLM2" s="13"/>
      <c r="WLN2" s="13"/>
      <c r="WLO2" s="13"/>
      <c r="WLP2" s="13"/>
      <c r="WLQ2" s="13"/>
      <c r="WLR2" s="13"/>
      <c r="WLS2" s="13"/>
      <c r="WLT2" s="13"/>
      <c r="WLU2" s="13"/>
      <c r="WLV2" s="13"/>
      <c r="WLW2" s="13"/>
      <c r="WLX2" s="13"/>
      <c r="WLY2" s="13"/>
      <c r="WLZ2" s="13"/>
      <c r="WMA2" s="13"/>
      <c r="WMB2" s="13"/>
      <c r="WMC2" s="13"/>
      <c r="WMD2" s="13"/>
      <c r="WME2" s="13"/>
      <c r="WMF2" s="13"/>
      <c r="WMG2" s="13"/>
      <c r="WMH2" s="13"/>
      <c r="WMI2" s="13"/>
      <c r="WMJ2" s="13"/>
      <c r="WMK2" s="13"/>
      <c r="WML2" s="13"/>
      <c r="WMM2" s="13"/>
      <c r="WMN2" s="13"/>
      <c r="WMO2" s="13"/>
      <c r="WMP2" s="13"/>
      <c r="WMQ2" s="13"/>
      <c r="WMR2" s="13"/>
      <c r="WMS2" s="13"/>
      <c r="WMT2" s="13"/>
      <c r="WMU2" s="13"/>
      <c r="WMV2" s="13"/>
      <c r="WMW2" s="13"/>
      <c r="WMX2" s="13"/>
      <c r="WMY2" s="13"/>
      <c r="WMZ2" s="13"/>
      <c r="WNA2" s="13"/>
      <c r="WNB2" s="13"/>
      <c r="WNC2" s="13"/>
      <c r="WND2" s="13"/>
      <c r="WNE2" s="13"/>
      <c r="WNF2" s="13"/>
      <c r="WNG2" s="13"/>
      <c r="WNH2" s="13"/>
      <c r="WNI2" s="13"/>
      <c r="WNJ2" s="13"/>
      <c r="WNK2" s="13"/>
      <c r="WNL2" s="13"/>
      <c r="WNM2" s="13"/>
      <c r="WNN2" s="13"/>
      <c r="WNO2" s="13"/>
      <c r="WNP2" s="13"/>
      <c r="WNQ2" s="13"/>
      <c r="WNR2" s="13"/>
      <c r="WNS2" s="13"/>
      <c r="WNT2" s="13"/>
      <c r="WNU2" s="13"/>
      <c r="WNV2" s="13"/>
      <c r="WNW2" s="13"/>
      <c r="WNX2" s="13"/>
      <c r="WNY2" s="13"/>
      <c r="WNZ2" s="13"/>
      <c r="WOA2" s="13"/>
      <c r="WOB2" s="13"/>
      <c r="WOC2" s="13"/>
      <c r="WOD2" s="13"/>
      <c r="WOE2" s="13"/>
      <c r="WOF2" s="13"/>
      <c r="WOG2" s="13"/>
      <c r="WOH2" s="13"/>
      <c r="WOI2" s="13"/>
      <c r="WOJ2" s="13"/>
      <c r="WOK2" s="13"/>
      <c r="WOL2" s="13"/>
      <c r="WOM2" s="13"/>
      <c r="WON2" s="13"/>
      <c r="WOO2" s="13"/>
      <c r="WOP2" s="13"/>
      <c r="WOQ2" s="13"/>
      <c r="WOR2" s="13"/>
      <c r="WOS2" s="13"/>
      <c r="WOT2" s="13"/>
      <c r="WOU2" s="13"/>
      <c r="WOV2" s="13"/>
      <c r="WOW2" s="13"/>
      <c r="WOX2" s="13"/>
      <c r="WOY2" s="13"/>
      <c r="WOZ2" s="13"/>
      <c r="WPA2" s="13"/>
      <c r="WPB2" s="13"/>
      <c r="WPC2" s="13"/>
      <c r="WPD2" s="13"/>
      <c r="WPE2" s="13"/>
      <c r="WPF2" s="13"/>
      <c r="WPG2" s="13"/>
      <c r="WPH2" s="13"/>
      <c r="WPI2" s="13"/>
      <c r="WPJ2" s="13"/>
      <c r="WPK2" s="13"/>
      <c r="WPL2" s="13"/>
      <c r="WPM2" s="13"/>
      <c r="WPN2" s="13"/>
      <c r="WPO2" s="13"/>
      <c r="WPP2" s="13"/>
      <c r="WPQ2" s="13"/>
      <c r="WPR2" s="13"/>
      <c r="WPS2" s="13"/>
      <c r="WPT2" s="13"/>
      <c r="WPU2" s="13"/>
      <c r="WPV2" s="13"/>
      <c r="WPW2" s="13"/>
      <c r="WPX2" s="13"/>
      <c r="WPY2" s="13"/>
      <c r="WPZ2" s="13"/>
      <c r="WQA2" s="13"/>
      <c r="WQB2" s="13"/>
      <c r="WQC2" s="13"/>
      <c r="WQD2" s="13"/>
      <c r="WQE2" s="13"/>
      <c r="WQF2" s="13"/>
      <c r="WQG2" s="13"/>
      <c r="WQH2" s="13"/>
      <c r="WQI2" s="13"/>
      <c r="WQJ2" s="13"/>
      <c r="WQK2" s="13"/>
      <c r="WQL2" s="13"/>
      <c r="WQM2" s="13"/>
      <c r="WQN2" s="13"/>
      <c r="WQO2" s="13"/>
      <c r="WQP2" s="13"/>
      <c r="WQQ2" s="13"/>
      <c r="WQR2" s="13"/>
      <c r="WQS2" s="13"/>
      <c r="WQT2" s="13"/>
      <c r="WQU2" s="13"/>
      <c r="WQV2" s="13"/>
      <c r="WQW2" s="13"/>
      <c r="WQX2" s="13"/>
      <c r="WQY2" s="13"/>
      <c r="WQZ2" s="13"/>
      <c r="WRA2" s="13"/>
      <c r="WRB2" s="13"/>
      <c r="WRC2" s="13"/>
      <c r="WRD2" s="13"/>
      <c r="WRE2" s="13"/>
      <c r="WRF2" s="13"/>
      <c r="WRG2" s="13"/>
      <c r="WRH2" s="13"/>
      <c r="WRI2" s="13"/>
      <c r="WRJ2" s="13"/>
      <c r="WRK2" s="13"/>
      <c r="WRL2" s="13"/>
      <c r="WRM2" s="13"/>
      <c r="WRN2" s="13"/>
      <c r="WRO2" s="13"/>
      <c r="WRP2" s="13"/>
      <c r="WRQ2" s="13"/>
      <c r="WRR2" s="13"/>
      <c r="WRS2" s="13"/>
      <c r="WRT2" s="13"/>
      <c r="WRU2" s="13"/>
      <c r="WRV2" s="13"/>
      <c r="WRW2" s="13"/>
      <c r="WRX2" s="13"/>
      <c r="WRY2" s="13"/>
      <c r="WRZ2" s="13"/>
      <c r="WSA2" s="13"/>
      <c r="WSB2" s="13"/>
      <c r="WSC2" s="13"/>
      <c r="WSD2" s="13"/>
      <c r="WSE2" s="13"/>
      <c r="WSF2" s="13"/>
      <c r="WSG2" s="13"/>
      <c r="WSH2" s="13"/>
      <c r="WSI2" s="13"/>
      <c r="WSJ2" s="13"/>
      <c r="WSK2" s="13"/>
      <c r="WSL2" s="13"/>
      <c r="WSM2" s="13"/>
      <c r="WSN2" s="13"/>
      <c r="WSO2" s="13"/>
      <c r="WSP2" s="13"/>
      <c r="WSQ2" s="13"/>
      <c r="WSR2" s="13"/>
      <c r="WSS2" s="13"/>
      <c r="WST2" s="13"/>
      <c r="WSU2" s="13"/>
      <c r="WSV2" s="13"/>
      <c r="WSW2" s="13"/>
      <c r="WSX2" s="13"/>
      <c r="WSY2" s="13"/>
      <c r="WSZ2" s="13"/>
      <c r="WTA2" s="13"/>
      <c r="WTB2" s="13"/>
      <c r="WTC2" s="13"/>
      <c r="WTD2" s="13"/>
      <c r="WTE2" s="13"/>
      <c r="WTF2" s="13"/>
      <c r="WTG2" s="13"/>
      <c r="WTH2" s="13"/>
      <c r="WTI2" s="13"/>
      <c r="WTJ2" s="13"/>
      <c r="WTK2" s="13"/>
      <c r="WTL2" s="13"/>
      <c r="WTM2" s="13"/>
      <c r="WTN2" s="13"/>
      <c r="WTO2" s="13"/>
      <c r="WTP2" s="13"/>
      <c r="WTQ2" s="13"/>
      <c r="WTR2" s="13"/>
      <c r="WTS2" s="13"/>
      <c r="WTT2" s="13"/>
      <c r="WTU2" s="13"/>
      <c r="WTV2" s="13"/>
      <c r="WTW2" s="13"/>
      <c r="WTX2" s="13"/>
      <c r="WTY2" s="13"/>
      <c r="WTZ2" s="13"/>
      <c r="WUA2" s="13"/>
      <c r="WUB2" s="13"/>
      <c r="WUC2" s="13"/>
      <c r="WUD2" s="13"/>
      <c r="WUE2" s="13"/>
      <c r="WUF2" s="13"/>
      <c r="WUG2" s="13"/>
      <c r="WUH2" s="13"/>
      <c r="WUI2" s="13"/>
      <c r="WUJ2" s="13"/>
      <c r="WUK2" s="13"/>
      <c r="WUL2" s="13"/>
      <c r="WUM2" s="13"/>
      <c r="WUN2" s="13"/>
      <c r="WUO2" s="13"/>
      <c r="WUP2" s="13"/>
      <c r="WUQ2" s="13"/>
      <c r="WUR2" s="13"/>
      <c r="WUS2" s="13"/>
      <c r="WUT2" s="13"/>
      <c r="WUU2" s="13"/>
      <c r="WUV2" s="13"/>
      <c r="WUW2" s="13"/>
      <c r="WUX2" s="13"/>
      <c r="WUY2" s="13"/>
      <c r="WUZ2" s="13"/>
      <c r="WVA2" s="13"/>
      <c r="WVB2" s="13"/>
      <c r="WVC2" s="13"/>
      <c r="WVD2" s="13"/>
      <c r="WVE2" s="13"/>
      <c r="WVF2" s="13"/>
      <c r="WVG2" s="13"/>
      <c r="WVH2" s="13"/>
      <c r="WVI2" s="13"/>
      <c r="WVJ2" s="13"/>
      <c r="WVK2" s="13"/>
      <c r="WVL2" s="13"/>
      <c r="WVM2" s="13"/>
      <c r="WVN2" s="13"/>
      <c r="WVO2" s="13"/>
      <c r="WVP2" s="13"/>
      <c r="WVQ2" s="13"/>
      <c r="WVR2" s="13"/>
      <c r="WVS2" s="13"/>
      <c r="WVT2" s="13"/>
      <c r="WVU2" s="13"/>
      <c r="WVV2" s="13"/>
      <c r="WVW2" s="13"/>
      <c r="WVX2" s="13"/>
      <c r="WVY2" s="13"/>
      <c r="WVZ2" s="13"/>
      <c r="WWA2" s="13"/>
      <c r="WWB2" s="13"/>
      <c r="WWC2" s="13"/>
      <c r="WWD2" s="13"/>
      <c r="WWE2" s="13"/>
      <c r="WWF2" s="13"/>
      <c r="WWG2" s="13"/>
      <c r="WWH2" s="13"/>
      <c r="WWI2" s="13"/>
      <c r="WWJ2" s="13"/>
      <c r="WWK2" s="13"/>
      <c r="WWL2" s="13"/>
      <c r="WWM2" s="13"/>
      <c r="WWN2" s="13"/>
      <c r="WWO2" s="13"/>
      <c r="WWP2" s="13"/>
      <c r="WWQ2" s="13"/>
      <c r="WWR2" s="13"/>
      <c r="WWS2" s="13"/>
      <c r="WWT2" s="13"/>
      <c r="WWU2" s="13"/>
      <c r="WWV2" s="13"/>
      <c r="WWW2" s="13"/>
      <c r="WWX2" s="13"/>
      <c r="WWY2" s="13"/>
      <c r="WWZ2" s="13"/>
      <c r="WXA2" s="13"/>
      <c r="WXB2" s="13"/>
      <c r="WXC2" s="13"/>
      <c r="WXD2" s="13"/>
      <c r="WXE2" s="13"/>
      <c r="WXF2" s="13"/>
      <c r="WXG2" s="13"/>
      <c r="WXH2" s="13"/>
      <c r="WXI2" s="13"/>
      <c r="WXJ2" s="13"/>
      <c r="WXK2" s="13"/>
      <c r="WXL2" s="13"/>
      <c r="WXM2" s="13"/>
      <c r="WXN2" s="13"/>
      <c r="WXO2" s="13"/>
      <c r="WXP2" s="13"/>
      <c r="WXQ2" s="13"/>
      <c r="WXR2" s="13"/>
      <c r="WXS2" s="13"/>
      <c r="WXT2" s="13"/>
      <c r="WXU2" s="13"/>
      <c r="WXV2" s="13"/>
      <c r="WXW2" s="13"/>
      <c r="WXX2" s="13"/>
      <c r="WXY2" s="13"/>
      <c r="WXZ2" s="13"/>
      <c r="WYA2" s="13"/>
      <c r="WYB2" s="13"/>
      <c r="WYC2" s="13"/>
      <c r="WYD2" s="13"/>
      <c r="WYE2" s="13"/>
      <c r="WYF2" s="13"/>
      <c r="WYG2" s="13"/>
      <c r="WYH2" s="13"/>
      <c r="WYI2" s="13"/>
      <c r="WYJ2" s="13"/>
      <c r="WYK2" s="13"/>
      <c r="WYL2" s="13"/>
      <c r="WYM2" s="13"/>
      <c r="WYN2" s="13"/>
      <c r="WYO2" s="13"/>
      <c r="WYP2" s="13"/>
      <c r="WYQ2" s="13"/>
      <c r="WYR2" s="13"/>
      <c r="WYS2" s="13"/>
      <c r="WYT2" s="13"/>
      <c r="WYU2" s="13"/>
      <c r="WYV2" s="13"/>
      <c r="WYW2" s="13"/>
      <c r="WYX2" s="13"/>
      <c r="WYY2" s="13"/>
      <c r="WYZ2" s="13"/>
      <c r="WZA2" s="13"/>
      <c r="WZB2" s="13"/>
      <c r="WZC2" s="13"/>
      <c r="WZD2" s="13"/>
      <c r="WZE2" s="13"/>
      <c r="WZF2" s="13"/>
      <c r="WZG2" s="13"/>
      <c r="WZH2" s="13"/>
      <c r="WZI2" s="13"/>
      <c r="WZJ2" s="13"/>
      <c r="WZK2" s="13"/>
      <c r="WZL2" s="13"/>
      <c r="WZM2" s="13"/>
      <c r="WZN2" s="13"/>
      <c r="WZO2" s="13"/>
      <c r="WZP2" s="13"/>
      <c r="WZQ2" s="13"/>
      <c r="WZR2" s="13"/>
      <c r="WZS2" s="13"/>
      <c r="WZT2" s="13"/>
      <c r="WZU2" s="13"/>
      <c r="WZV2" s="13"/>
      <c r="WZW2" s="13"/>
      <c r="WZX2" s="13"/>
      <c r="WZY2" s="13"/>
      <c r="WZZ2" s="13"/>
      <c r="XAA2" s="13"/>
      <c r="XAB2" s="13"/>
      <c r="XAC2" s="13"/>
      <c r="XAD2" s="13"/>
      <c r="XAE2" s="13"/>
      <c r="XAF2" s="13"/>
      <c r="XAG2" s="13"/>
      <c r="XAH2" s="13"/>
      <c r="XAI2" s="13"/>
      <c r="XAJ2" s="13"/>
      <c r="XAK2" s="13"/>
      <c r="XAL2" s="13"/>
      <c r="XAM2" s="13"/>
      <c r="XAN2" s="13"/>
      <c r="XAO2" s="13"/>
      <c r="XAP2" s="13"/>
      <c r="XAQ2" s="13"/>
      <c r="XAR2" s="13"/>
      <c r="XAS2" s="13"/>
      <c r="XAT2" s="13"/>
      <c r="XAU2" s="13"/>
      <c r="XAV2" s="13"/>
      <c r="XAW2" s="13"/>
      <c r="XAX2" s="13"/>
      <c r="XAY2" s="13"/>
      <c r="XAZ2" s="13"/>
      <c r="XBA2" s="13"/>
      <c r="XBB2" s="13"/>
      <c r="XBC2" s="13"/>
      <c r="XBD2" s="13"/>
      <c r="XBE2" s="13"/>
      <c r="XBF2" s="13"/>
      <c r="XBG2" s="13"/>
      <c r="XBH2" s="13"/>
      <c r="XBI2" s="13"/>
      <c r="XBJ2" s="13"/>
      <c r="XBK2" s="13"/>
      <c r="XBL2" s="13"/>
      <c r="XBM2" s="13"/>
      <c r="XBN2" s="13"/>
      <c r="XBO2" s="13"/>
      <c r="XBP2" s="13"/>
      <c r="XBQ2" s="13"/>
      <c r="XBR2" s="13"/>
      <c r="XBS2" s="13"/>
      <c r="XBT2" s="13"/>
      <c r="XBU2" s="13"/>
      <c r="XBV2" s="13"/>
      <c r="XBW2" s="13"/>
      <c r="XBX2" s="13"/>
      <c r="XBY2" s="13"/>
      <c r="XBZ2" s="13"/>
      <c r="XCA2" s="13"/>
      <c r="XCB2" s="13"/>
      <c r="XCC2" s="13"/>
      <c r="XCD2" s="13"/>
      <c r="XCE2" s="13"/>
      <c r="XCF2" s="13"/>
      <c r="XCG2" s="13"/>
      <c r="XCH2" s="13"/>
      <c r="XCI2" s="13"/>
      <c r="XCJ2" s="13"/>
      <c r="XCK2" s="13"/>
      <c r="XCL2" s="13"/>
      <c r="XCM2" s="13"/>
      <c r="XCN2" s="13"/>
      <c r="XCO2" s="13"/>
      <c r="XCP2" s="13"/>
      <c r="XCQ2" s="13"/>
      <c r="XCR2" s="13"/>
      <c r="XCS2" s="13"/>
      <c r="XCT2" s="13"/>
      <c r="XCU2" s="13"/>
      <c r="XCV2" s="13"/>
      <c r="XCW2" s="13"/>
      <c r="XCX2" s="13"/>
      <c r="XCY2" s="13"/>
      <c r="XCZ2" s="13"/>
      <c r="XDA2" s="13"/>
      <c r="XDB2" s="13"/>
      <c r="XDC2" s="13"/>
      <c r="XDD2" s="13"/>
      <c r="XDE2" s="13"/>
      <c r="XDF2" s="13"/>
      <c r="XDG2" s="13"/>
      <c r="XDH2" s="13"/>
      <c r="XDI2" s="13"/>
      <c r="XDJ2" s="13"/>
      <c r="XDK2" s="13"/>
      <c r="XDL2" s="13"/>
      <c r="XDM2" s="13"/>
      <c r="XDN2" s="13"/>
      <c r="XDO2" s="13"/>
      <c r="XDP2" s="13"/>
      <c r="XDQ2" s="13"/>
      <c r="XDR2" s="13"/>
      <c r="XDS2" s="13"/>
      <c r="XDT2" s="13"/>
      <c r="XDU2" s="13"/>
      <c r="XDV2" s="13"/>
      <c r="XDW2" s="13"/>
      <c r="XDX2" s="13"/>
      <c r="XDY2" s="13"/>
      <c r="XDZ2" s="13"/>
      <c r="XEA2" s="13"/>
      <c r="XEB2" s="13"/>
      <c r="XEC2" s="13"/>
      <c r="XED2" s="13"/>
      <c r="XEE2" s="13"/>
      <c r="XEF2" s="13"/>
      <c r="XEG2" s="13"/>
      <c r="XEH2" s="13"/>
      <c r="XEI2" s="13"/>
      <c r="XEJ2" s="13"/>
      <c r="XEK2" s="13"/>
      <c r="XEL2" s="13"/>
      <c r="XEM2" s="13"/>
      <c r="XEN2" s="13"/>
      <c r="XEO2" s="13"/>
      <c r="XEP2" s="13"/>
      <c r="XEQ2" s="13"/>
      <c r="XER2" s="13"/>
      <c r="XES2" s="13"/>
      <c r="XET2" s="13"/>
      <c r="XEU2" s="13"/>
      <c r="XEV2" s="13"/>
    </row>
    <row r="3" spans="1:16378" x14ac:dyDescent="0.35">
      <c r="A3" s="22"/>
      <c r="C3" s="1"/>
      <c r="D3" s="1"/>
      <c r="F3" s="1"/>
    </row>
    <row r="4" spans="1:16378" x14ac:dyDescent="0.35">
      <c r="A4" s="23" t="s">
        <v>53</v>
      </c>
      <c r="C4" s="1"/>
      <c r="D4" s="1"/>
      <c r="F4" s="1"/>
    </row>
    <row r="5" spans="1:16378" x14ac:dyDescent="0.35">
      <c r="A5" s="107" t="s">
        <v>298</v>
      </c>
      <c r="C5" s="1"/>
      <c r="D5" s="1"/>
      <c r="F5" s="1"/>
    </row>
    <row r="6" spans="1:16378" x14ac:dyDescent="0.35">
      <c r="A6" s="24" t="s">
        <v>54</v>
      </c>
      <c r="C6" s="1"/>
      <c r="D6" s="1"/>
      <c r="F6" s="1"/>
    </row>
    <row r="7" spans="1:16378" x14ac:dyDescent="0.35">
      <c r="A7" s="25"/>
      <c r="C7" s="1"/>
      <c r="D7" s="1"/>
      <c r="F7" s="1"/>
    </row>
    <row r="8" spans="1:16378" s="37" customFormat="1" x14ac:dyDescent="0.35">
      <c r="A8" s="33" t="s">
        <v>131</v>
      </c>
      <c r="B8" s="33" t="s">
        <v>132</v>
      </c>
      <c r="C8" s="33" t="s">
        <v>133</v>
      </c>
      <c r="D8" s="33" t="s">
        <v>134</v>
      </c>
      <c r="E8" s="33" t="s">
        <v>135</v>
      </c>
      <c r="F8" s="33" t="s">
        <v>136</v>
      </c>
      <c r="G8" s="33" t="s">
        <v>137</v>
      </c>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c r="GM8" s="36"/>
      <c r="GN8" s="36"/>
      <c r="GO8" s="36"/>
      <c r="GP8" s="36"/>
      <c r="GQ8" s="36"/>
      <c r="GR8" s="36"/>
      <c r="GS8" s="36"/>
      <c r="GT8" s="36"/>
      <c r="GU8" s="36"/>
      <c r="GV8" s="36"/>
      <c r="GW8" s="36"/>
      <c r="GX8" s="36"/>
      <c r="GY8" s="36"/>
      <c r="GZ8" s="36"/>
      <c r="HA8" s="36"/>
      <c r="HB8" s="36"/>
      <c r="HC8" s="36"/>
      <c r="HD8" s="36"/>
      <c r="HE8" s="36"/>
      <c r="HF8" s="36"/>
      <c r="HG8" s="36"/>
      <c r="HH8" s="36"/>
      <c r="HI8" s="36"/>
      <c r="HJ8" s="36"/>
      <c r="HK8" s="36"/>
      <c r="HL8" s="36"/>
      <c r="HM8" s="36"/>
      <c r="HN8" s="36"/>
      <c r="HO8" s="36"/>
      <c r="HP8" s="36"/>
      <c r="HQ8" s="36"/>
      <c r="HR8" s="36"/>
      <c r="HS8" s="36"/>
      <c r="HT8" s="36"/>
      <c r="HU8" s="36"/>
      <c r="HV8" s="36"/>
      <c r="HW8" s="36"/>
      <c r="HX8" s="36"/>
      <c r="HY8" s="36"/>
      <c r="HZ8" s="36"/>
      <c r="IA8" s="36"/>
      <c r="IB8" s="36"/>
      <c r="IC8" s="36"/>
      <c r="ID8" s="36"/>
      <c r="IE8" s="36"/>
      <c r="IF8" s="36"/>
      <c r="IG8" s="36"/>
      <c r="IH8" s="36"/>
      <c r="II8" s="36"/>
      <c r="IJ8" s="36"/>
      <c r="IK8" s="36"/>
      <c r="IL8" s="36"/>
      <c r="IM8" s="36"/>
      <c r="IN8" s="36"/>
      <c r="IO8" s="36"/>
      <c r="IP8" s="36"/>
      <c r="IQ8" s="36"/>
      <c r="IR8" s="36"/>
      <c r="IS8" s="36"/>
      <c r="IT8" s="36"/>
      <c r="IU8" s="36"/>
      <c r="IV8" s="36"/>
      <c r="IW8" s="36"/>
      <c r="IX8" s="36"/>
      <c r="IY8" s="36"/>
      <c r="IZ8" s="36"/>
      <c r="JA8" s="36"/>
      <c r="JB8" s="36"/>
      <c r="JC8" s="36"/>
      <c r="JD8" s="36"/>
      <c r="JE8" s="36"/>
      <c r="JF8" s="36"/>
      <c r="JG8" s="36"/>
      <c r="JH8" s="36"/>
      <c r="JI8" s="36"/>
      <c r="JJ8" s="36"/>
      <c r="JK8" s="36"/>
      <c r="JL8" s="36"/>
      <c r="JM8" s="36"/>
      <c r="JN8" s="36"/>
      <c r="JO8" s="36"/>
      <c r="JP8" s="36"/>
      <c r="JQ8" s="36"/>
      <c r="JR8" s="36"/>
      <c r="JS8" s="36"/>
      <c r="JT8" s="36"/>
      <c r="JU8" s="36"/>
      <c r="JV8" s="36"/>
      <c r="JW8" s="36"/>
      <c r="JX8" s="36"/>
      <c r="JY8" s="36"/>
      <c r="JZ8" s="36"/>
      <c r="KA8" s="36"/>
      <c r="KB8" s="36"/>
      <c r="KC8" s="36"/>
      <c r="KD8" s="36"/>
      <c r="KE8" s="36"/>
      <c r="KF8" s="36"/>
      <c r="KG8" s="36"/>
      <c r="KH8" s="36"/>
      <c r="KI8" s="36"/>
      <c r="KJ8" s="36"/>
      <c r="KK8" s="36"/>
      <c r="KL8" s="36"/>
      <c r="KM8" s="36"/>
      <c r="KN8" s="36"/>
      <c r="KO8" s="36"/>
      <c r="KP8" s="36"/>
      <c r="KQ8" s="36"/>
      <c r="KR8" s="36"/>
      <c r="KS8" s="36"/>
      <c r="KT8" s="36"/>
      <c r="KU8" s="36"/>
      <c r="KV8" s="36"/>
      <c r="KW8" s="36"/>
      <c r="KX8" s="36"/>
      <c r="KY8" s="36"/>
      <c r="KZ8" s="36"/>
      <c r="LA8" s="36"/>
      <c r="LB8" s="36"/>
      <c r="LC8" s="36"/>
      <c r="LD8" s="36"/>
      <c r="LE8" s="36"/>
      <c r="LF8" s="36"/>
      <c r="LG8" s="36"/>
      <c r="LH8" s="36"/>
      <c r="LI8" s="36"/>
      <c r="LJ8" s="36"/>
      <c r="LK8" s="36"/>
      <c r="LL8" s="36"/>
      <c r="LM8" s="36"/>
      <c r="LN8" s="36"/>
      <c r="LO8" s="36"/>
      <c r="LP8" s="36"/>
      <c r="LQ8" s="36"/>
      <c r="LR8" s="36"/>
      <c r="LS8" s="36"/>
      <c r="LT8" s="36"/>
      <c r="LU8" s="36"/>
      <c r="LV8" s="36"/>
      <c r="LW8" s="36"/>
      <c r="LX8" s="36"/>
      <c r="LY8" s="36"/>
      <c r="LZ8" s="36"/>
      <c r="MA8" s="36"/>
      <c r="MB8" s="36"/>
      <c r="MC8" s="36"/>
      <c r="MD8" s="36"/>
      <c r="ME8" s="36"/>
      <c r="MF8" s="36"/>
      <c r="MG8" s="36"/>
      <c r="MH8" s="36"/>
      <c r="MI8" s="36"/>
      <c r="MJ8" s="36"/>
      <c r="MK8" s="36"/>
      <c r="ML8" s="36"/>
      <c r="MM8" s="36"/>
      <c r="MN8" s="36"/>
      <c r="MO8" s="36"/>
      <c r="MP8" s="36"/>
      <c r="MQ8" s="36"/>
      <c r="MR8" s="36"/>
      <c r="MS8" s="36"/>
      <c r="MT8" s="36"/>
      <c r="MU8" s="36"/>
      <c r="MV8" s="36"/>
      <c r="MW8" s="36"/>
      <c r="MX8" s="36"/>
      <c r="MY8" s="36"/>
      <c r="MZ8" s="36"/>
      <c r="NA8" s="36"/>
      <c r="NB8" s="36"/>
      <c r="NC8" s="36"/>
      <c r="ND8" s="36"/>
      <c r="NE8" s="36"/>
      <c r="NF8" s="36"/>
      <c r="NG8" s="36"/>
      <c r="NH8" s="36"/>
      <c r="NI8" s="36"/>
      <c r="NJ8" s="36"/>
      <c r="NK8" s="36"/>
      <c r="NL8" s="36"/>
      <c r="NM8" s="36"/>
      <c r="NN8" s="36"/>
      <c r="NO8" s="36"/>
      <c r="NP8" s="36"/>
      <c r="NQ8" s="36"/>
      <c r="NR8" s="36"/>
      <c r="NS8" s="36"/>
      <c r="NT8" s="36"/>
      <c r="NU8" s="36"/>
      <c r="NV8" s="36"/>
      <c r="NW8" s="36"/>
      <c r="NX8" s="36"/>
      <c r="NY8" s="36"/>
      <c r="NZ8" s="36"/>
      <c r="OA8" s="36"/>
      <c r="OB8" s="36"/>
      <c r="OC8" s="36"/>
      <c r="OD8" s="36"/>
      <c r="OE8" s="36"/>
      <c r="OF8" s="36"/>
      <c r="OG8" s="36"/>
      <c r="OH8" s="36"/>
      <c r="OI8" s="36"/>
      <c r="OJ8" s="36"/>
      <c r="OK8" s="36"/>
      <c r="OL8" s="36"/>
      <c r="OM8" s="36"/>
      <c r="ON8" s="36"/>
      <c r="OO8" s="36"/>
      <c r="OP8" s="36"/>
      <c r="OQ8" s="36"/>
      <c r="OR8" s="36"/>
      <c r="OS8" s="36"/>
      <c r="OT8" s="36"/>
      <c r="OU8" s="36"/>
      <c r="OV8" s="36"/>
      <c r="OW8" s="36"/>
      <c r="OX8" s="36"/>
      <c r="OY8" s="36"/>
      <c r="OZ8" s="36"/>
      <c r="PA8" s="36"/>
      <c r="PB8" s="36"/>
      <c r="PC8" s="36"/>
      <c r="PD8" s="36"/>
      <c r="PE8" s="36"/>
      <c r="PF8" s="36"/>
      <c r="PG8" s="36"/>
      <c r="PH8" s="36"/>
      <c r="PI8" s="36"/>
      <c r="PJ8" s="36"/>
      <c r="PK8" s="36"/>
      <c r="PL8" s="36"/>
      <c r="PM8" s="36"/>
      <c r="PN8" s="36"/>
      <c r="PO8" s="36"/>
      <c r="PP8" s="36"/>
      <c r="PQ8" s="36"/>
      <c r="PR8" s="36"/>
      <c r="PS8" s="36"/>
      <c r="PT8" s="36"/>
      <c r="PU8" s="36"/>
      <c r="PV8" s="36"/>
      <c r="PW8" s="36"/>
      <c r="PX8" s="36"/>
      <c r="PY8" s="36"/>
      <c r="PZ8" s="36"/>
      <c r="QA8" s="36"/>
      <c r="QB8" s="36"/>
      <c r="QC8" s="36"/>
      <c r="QD8" s="36"/>
      <c r="QE8" s="36"/>
      <c r="QF8" s="36"/>
      <c r="QG8" s="36"/>
      <c r="QH8" s="36"/>
      <c r="QI8" s="36"/>
      <c r="QJ8" s="36"/>
      <c r="QK8" s="36"/>
      <c r="QL8" s="36"/>
      <c r="QM8" s="36"/>
      <c r="QN8" s="36"/>
      <c r="QO8" s="36"/>
      <c r="QP8" s="36"/>
      <c r="QQ8" s="36"/>
      <c r="QR8" s="36"/>
      <c r="QS8" s="36"/>
      <c r="QT8" s="36"/>
      <c r="QU8" s="36"/>
      <c r="QV8" s="36"/>
      <c r="QW8" s="36"/>
      <c r="QX8" s="36"/>
      <c r="QY8" s="36"/>
      <c r="QZ8" s="36"/>
      <c r="RA8" s="36"/>
      <c r="RB8" s="36"/>
      <c r="RC8" s="36"/>
      <c r="RD8" s="36"/>
      <c r="RE8" s="36"/>
      <c r="RF8" s="36"/>
      <c r="RG8" s="36"/>
      <c r="RH8" s="36"/>
      <c r="RI8" s="36"/>
      <c r="RJ8" s="36"/>
      <c r="RK8" s="36"/>
      <c r="RL8" s="36"/>
      <c r="RM8" s="36"/>
      <c r="RN8" s="36"/>
      <c r="RO8" s="36"/>
      <c r="RP8" s="36"/>
      <c r="RQ8" s="36"/>
      <c r="RR8" s="36"/>
      <c r="RS8" s="36"/>
      <c r="RT8" s="36"/>
      <c r="RU8" s="36"/>
      <c r="RV8" s="36"/>
      <c r="RW8" s="36"/>
      <c r="RX8" s="36"/>
      <c r="RY8" s="36"/>
      <c r="RZ8" s="36"/>
      <c r="SA8" s="36"/>
      <c r="SB8" s="36"/>
      <c r="SC8" s="36"/>
      <c r="SD8" s="36"/>
      <c r="SE8" s="36"/>
      <c r="SF8" s="36"/>
      <c r="SG8" s="36"/>
      <c r="SH8" s="36"/>
      <c r="SI8" s="36"/>
      <c r="SJ8" s="36"/>
      <c r="SK8" s="36"/>
      <c r="SL8" s="36"/>
      <c r="SM8" s="36"/>
      <c r="SN8" s="36"/>
      <c r="SO8" s="36"/>
      <c r="SP8" s="36"/>
      <c r="SQ8" s="36"/>
      <c r="SR8" s="36"/>
      <c r="SS8" s="36"/>
      <c r="ST8" s="36"/>
      <c r="SU8" s="36"/>
      <c r="SV8" s="36"/>
      <c r="SW8" s="36"/>
      <c r="SX8" s="36"/>
      <c r="SY8" s="36"/>
      <c r="SZ8" s="36"/>
      <c r="TA8" s="36"/>
      <c r="TB8" s="36"/>
      <c r="TC8" s="36"/>
      <c r="TD8" s="36"/>
      <c r="TE8" s="36"/>
      <c r="TF8" s="36"/>
      <c r="TG8" s="36"/>
      <c r="TH8" s="36"/>
      <c r="TI8" s="36"/>
      <c r="TJ8" s="36"/>
      <c r="TK8" s="36"/>
      <c r="TL8" s="36"/>
      <c r="TM8" s="36"/>
      <c r="TN8" s="36"/>
      <c r="TO8" s="36"/>
      <c r="TP8" s="36"/>
      <c r="TQ8" s="36"/>
      <c r="TR8" s="36"/>
      <c r="TS8" s="36"/>
      <c r="TT8" s="36"/>
      <c r="TU8" s="36"/>
      <c r="TV8" s="36"/>
      <c r="TW8" s="36"/>
      <c r="TX8" s="36"/>
      <c r="TY8" s="36"/>
      <c r="TZ8" s="36"/>
      <c r="UA8" s="36"/>
      <c r="UB8" s="36"/>
      <c r="UC8" s="36"/>
      <c r="UD8" s="36"/>
      <c r="UE8" s="36"/>
      <c r="UF8" s="36"/>
      <c r="UG8" s="36"/>
      <c r="UH8" s="36"/>
      <c r="UI8" s="36"/>
      <c r="UJ8" s="36"/>
      <c r="UK8" s="36"/>
      <c r="UL8" s="36"/>
      <c r="UM8" s="36"/>
      <c r="UN8" s="36"/>
      <c r="UO8" s="36"/>
      <c r="UP8" s="36"/>
      <c r="UQ8" s="36"/>
      <c r="UR8" s="36"/>
      <c r="US8" s="36"/>
      <c r="UT8" s="36"/>
      <c r="UU8" s="36"/>
      <c r="UV8" s="36"/>
      <c r="UW8" s="36"/>
      <c r="UX8" s="36"/>
      <c r="UY8" s="36"/>
      <c r="UZ8" s="36"/>
      <c r="VA8" s="36"/>
      <c r="VB8" s="36"/>
      <c r="VC8" s="36"/>
      <c r="VD8" s="36"/>
      <c r="VE8" s="36"/>
      <c r="VF8" s="36"/>
      <c r="VG8" s="36"/>
      <c r="VH8" s="36"/>
      <c r="VI8" s="36"/>
      <c r="VJ8" s="36"/>
      <c r="VK8" s="36"/>
      <c r="VL8" s="36"/>
      <c r="VM8" s="36"/>
      <c r="VN8" s="36"/>
      <c r="VO8" s="36"/>
      <c r="VP8" s="36"/>
      <c r="VQ8" s="36"/>
      <c r="VR8" s="36"/>
      <c r="VS8" s="36"/>
      <c r="VT8" s="36"/>
      <c r="VU8" s="36"/>
      <c r="VV8" s="36"/>
      <c r="VW8" s="36"/>
      <c r="VX8" s="36"/>
      <c r="VY8" s="36"/>
      <c r="VZ8" s="36"/>
      <c r="WA8" s="36"/>
      <c r="WB8" s="36"/>
      <c r="WC8" s="36"/>
      <c r="WD8" s="36"/>
      <c r="WE8" s="36"/>
      <c r="WF8" s="36"/>
      <c r="WG8" s="36"/>
      <c r="WH8" s="36"/>
      <c r="WI8" s="36"/>
      <c r="WJ8" s="36"/>
      <c r="WK8" s="36"/>
      <c r="WL8" s="36"/>
      <c r="WM8" s="36"/>
      <c r="WN8" s="36"/>
      <c r="WO8" s="36"/>
      <c r="WP8" s="36"/>
      <c r="WQ8" s="36"/>
      <c r="WR8" s="36"/>
      <c r="WS8" s="36"/>
      <c r="WT8" s="36"/>
      <c r="WU8" s="36"/>
      <c r="WV8" s="36"/>
      <c r="WW8" s="36"/>
      <c r="WX8" s="36"/>
      <c r="WY8" s="36"/>
      <c r="WZ8" s="36"/>
      <c r="XA8" s="36"/>
      <c r="XB8" s="36"/>
      <c r="XC8" s="36"/>
      <c r="XD8" s="36"/>
      <c r="XE8" s="36"/>
      <c r="XF8" s="36"/>
      <c r="XG8" s="36"/>
      <c r="XH8" s="36"/>
      <c r="XI8" s="36"/>
      <c r="XJ8" s="36"/>
      <c r="XK8" s="36"/>
      <c r="XL8" s="36"/>
      <c r="XM8" s="36"/>
      <c r="XN8" s="36"/>
      <c r="XO8" s="36"/>
      <c r="XP8" s="36"/>
      <c r="XQ8" s="36"/>
      <c r="XR8" s="36"/>
      <c r="XS8" s="36"/>
      <c r="XT8" s="36"/>
      <c r="XU8" s="36"/>
      <c r="XV8" s="36"/>
      <c r="XW8" s="36"/>
      <c r="XX8" s="36"/>
      <c r="XY8" s="36"/>
      <c r="XZ8" s="36"/>
      <c r="YA8" s="36"/>
      <c r="YB8" s="36"/>
      <c r="YC8" s="36"/>
      <c r="YD8" s="36"/>
      <c r="YE8" s="36"/>
      <c r="YF8" s="36"/>
      <c r="YG8" s="36"/>
      <c r="YH8" s="36"/>
      <c r="YI8" s="36"/>
      <c r="YJ8" s="36"/>
      <c r="YK8" s="36"/>
      <c r="YL8" s="36"/>
      <c r="YM8" s="36"/>
      <c r="YN8" s="36"/>
      <c r="YO8" s="36"/>
      <c r="YP8" s="36"/>
      <c r="YQ8" s="36"/>
      <c r="YR8" s="36"/>
      <c r="YS8" s="36"/>
      <c r="YT8" s="36"/>
      <c r="YU8" s="36"/>
      <c r="YV8" s="36"/>
      <c r="YW8" s="36"/>
      <c r="YX8" s="36"/>
      <c r="YY8" s="36"/>
      <c r="YZ8" s="36"/>
      <c r="ZA8" s="36"/>
      <c r="ZB8" s="36"/>
      <c r="ZC8" s="36"/>
      <c r="ZD8" s="36"/>
      <c r="ZE8" s="36"/>
      <c r="ZF8" s="36"/>
      <c r="ZG8" s="36"/>
      <c r="ZH8" s="36"/>
      <c r="ZI8" s="36"/>
      <c r="ZJ8" s="36"/>
      <c r="ZK8" s="36"/>
      <c r="ZL8" s="36"/>
      <c r="ZM8" s="36"/>
      <c r="ZN8" s="36"/>
      <c r="ZO8" s="36"/>
      <c r="ZP8" s="36"/>
      <c r="ZQ8" s="36"/>
      <c r="ZR8" s="36"/>
      <c r="ZS8" s="36"/>
      <c r="ZT8" s="36"/>
      <c r="ZU8" s="36"/>
      <c r="ZV8" s="36"/>
      <c r="ZW8" s="36"/>
      <c r="ZX8" s="36"/>
      <c r="ZY8" s="36"/>
      <c r="ZZ8" s="36"/>
      <c r="AAA8" s="36"/>
      <c r="AAB8" s="36"/>
      <c r="AAC8" s="36"/>
      <c r="AAD8" s="36"/>
      <c r="AAE8" s="36"/>
      <c r="AAF8" s="36"/>
      <c r="AAG8" s="36"/>
      <c r="AAH8" s="36"/>
      <c r="AAI8" s="36"/>
      <c r="AAJ8" s="36"/>
      <c r="AAK8" s="36"/>
      <c r="AAL8" s="36"/>
      <c r="AAM8" s="36"/>
      <c r="AAN8" s="36"/>
      <c r="AAO8" s="36"/>
      <c r="AAP8" s="36"/>
      <c r="AAQ8" s="36"/>
      <c r="AAR8" s="36"/>
      <c r="AAS8" s="36"/>
      <c r="AAT8" s="36"/>
      <c r="AAU8" s="36"/>
      <c r="AAV8" s="36"/>
      <c r="AAW8" s="36"/>
      <c r="AAX8" s="36"/>
      <c r="AAY8" s="36"/>
      <c r="AAZ8" s="36"/>
      <c r="ABA8" s="36"/>
      <c r="ABB8" s="36"/>
      <c r="ABC8" s="36"/>
      <c r="ABD8" s="36"/>
      <c r="ABE8" s="36"/>
      <c r="ABF8" s="36"/>
      <c r="ABG8" s="36"/>
      <c r="ABH8" s="36"/>
      <c r="ABI8" s="36"/>
      <c r="ABJ8" s="36"/>
      <c r="ABK8" s="36"/>
      <c r="ABL8" s="36"/>
      <c r="ABM8" s="36"/>
      <c r="ABN8" s="36"/>
      <c r="ABO8" s="36"/>
      <c r="ABP8" s="36"/>
      <c r="ABQ8" s="36"/>
      <c r="ABR8" s="36"/>
      <c r="ABS8" s="36"/>
      <c r="ABT8" s="36"/>
      <c r="ABU8" s="36"/>
      <c r="ABV8" s="36"/>
      <c r="ABW8" s="36"/>
      <c r="ABX8" s="36"/>
      <c r="ABY8" s="36"/>
      <c r="ABZ8" s="36"/>
      <c r="ACA8" s="36"/>
      <c r="ACB8" s="36"/>
      <c r="ACC8" s="36"/>
      <c r="ACD8" s="36"/>
      <c r="ACE8" s="36"/>
      <c r="ACF8" s="36"/>
      <c r="ACG8" s="36"/>
      <c r="ACH8" s="36"/>
      <c r="ACI8" s="36"/>
      <c r="ACJ8" s="36"/>
      <c r="ACK8" s="36"/>
      <c r="ACL8" s="36"/>
      <c r="ACM8" s="36"/>
      <c r="ACN8" s="36"/>
      <c r="ACO8" s="36"/>
      <c r="ACP8" s="36"/>
      <c r="ACQ8" s="36"/>
      <c r="ACR8" s="36"/>
      <c r="ACS8" s="36"/>
      <c r="ACT8" s="36"/>
      <c r="ACU8" s="36"/>
      <c r="ACV8" s="36"/>
      <c r="ACW8" s="36"/>
      <c r="ACX8" s="36"/>
      <c r="ACY8" s="36"/>
      <c r="ACZ8" s="36"/>
      <c r="ADA8" s="36"/>
      <c r="ADB8" s="36"/>
      <c r="ADC8" s="36"/>
      <c r="ADD8" s="36"/>
      <c r="ADE8" s="36"/>
      <c r="ADF8" s="36"/>
      <c r="ADG8" s="36"/>
      <c r="ADH8" s="36"/>
      <c r="ADI8" s="36"/>
      <c r="ADJ8" s="36"/>
      <c r="ADK8" s="36"/>
      <c r="ADL8" s="36"/>
      <c r="ADM8" s="36"/>
      <c r="ADN8" s="36"/>
      <c r="ADO8" s="36"/>
      <c r="ADP8" s="36"/>
      <c r="ADQ8" s="36"/>
      <c r="ADR8" s="36"/>
      <c r="ADS8" s="36"/>
      <c r="ADT8" s="36"/>
      <c r="ADU8" s="36"/>
      <c r="ADV8" s="36"/>
      <c r="ADW8" s="36"/>
      <c r="ADX8" s="36"/>
      <c r="ADY8" s="36"/>
      <c r="ADZ8" s="36"/>
      <c r="AEA8" s="36"/>
      <c r="AEB8" s="36"/>
      <c r="AEC8" s="36"/>
      <c r="AED8" s="36"/>
      <c r="AEE8" s="36"/>
      <c r="AEF8" s="36"/>
      <c r="AEG8" s="36"/>
      <c r="AEH8" s="36"/>
      <c r="AEI8" s="36"/>
      <c r="AEJ8" s="36"/>
      <c r="AEK8" s="36"/>
      <c r="AEL8" s="36"/>
      <c r="AEM8" s="36"/>
      <c r="AEN8" s="36"/>
      <c r="AEO8" s="36"/>
      <c r="AEP8" s="36"/>
      <c r="AEQ8" s="36"/>
      <c r="AER8" s="36"/>
      <c r="AES8" s="36"/>
      <c r="AET8" s="36"/>
      <c r="AEU8" s="36"/>
      <c r="AEV8" s="36"/>
      <c r="AEW8" s="36"/>
      <c r="AEX8" s="36"/>
      <c r="AEY8" s="36"/>
      <c r="AEZ8" s="36"/>
      <c r="AFA8" s="36"/>
      <c r="AFB8" s="36"/>
      <c r="AFC8" s="36"/>
      <c r="AFD8" s="36"/>
      <c r="AFE8" s="36"/>
      <c r="AFF8" s="36"/>
      <c r="AFG8" s="36"/>
      <c r="AFH8" s="36"/>
      <c r="AFI8" s="36"/>
      <c r="AFJ8" s="36"/>
      <c r="AFK8" s="36"/>
      <c r="AFL8" s="36"/>
      <c r="AFM8" s="36"/>
      <c r="AFN8" s="36"/>
      <c r="AFO8" s="36"/>
      <c r="AFP8" s="36"/>
      <c r="AFQ8" s="36"/>
      <c r="AFR8" s="36"/>
      <c r="AFS8" s="36"/>
      <c r="AFT8" s="36"/>
      <c r="AFU8" s="36"/>
      <c r="AFV8" s="36"/>
      <c r="AFW8" s="36"/>
      <c r="AFX8" s="36"/>
      <c r="AFY8" s="36"/>
      <c r="AFZ8" s="36"/>
      <c r="AGA8" s="36"/>
      <c r="AGB8" s="36"/>
      <c r="AGC8" s="36"/>
      <c r="AGD8" s="36"/>
      <c r="AGE8" s="36"/>
      <c r="AGF8" s="36"/>
      <c r="AGG8" s="36"/>
      <c r="AGH8" s="36"/>
      <c r="AGI8" s="36"/>
      <c r="AGJ8" s="36"/>
      <c r="AGK8" s="36"/>
      <c r="AGL8" s="36"/>
      <c r="AGM8" s="36"/>
      <c r="AGN8" s="36"/>
      <c r="AGO8" s="36"/>
      <c r="AGP8" s="36"/>
      <c r="AGQ8" s="36"/>
      <c r="AGR8" s="36"/>
      <c r="AGS8" s="36"/>
      <c r="AGT8" s="36"/>
      <c r="AGU8" s="36"/>
      <c r="AGV8" s="36"/>
      <c r="AGW8" s="36"/>
      <c r="AGX8" s="36"/>
      <c r="AGY8" s="36"/>
      <c r="AGZ8" s="36"/>
      <c r="AHA8" s="36"/>
      <c r="AHB8" s="36"/>
      <c r="AHC8" s="36"/>
      <c r="AHD8" s="36"/>
      <c r="AHE8" s="36"/>
      <c r="AHF8" s="36"/>
      <c r="AHG8" s="36"/>
      <c r="AHH8" s="36"/>
      <c r="AHI8" s="36"/>
      <c r="AHJ8" s="36"/>
      <c r="AHK8" s="36"/>
      <c r="AHL8" s="36"/>
      <c r="AHM8" s="36"/>
      <c r="AHN8" s="36"/>
      <c r="AHO8" s="36"/>
      <c r="AHP8" s="36"/>
      <c r="AHQ8" s="36"/>
      <c r="AHR8" s="36"/>
      <c r="AHS8" s="36"/>
      <c r="AHT8" s="36"/>
      <c r="AHU8" s="36"/>
      <c r="AHV8" s="36"/>
      <c r="AHW8" s="36"/>
      <c r="AHX8" s="36"/>
      <c r="AHY8" s="36"/>
      <c r="AHZ8" s="36"/>
      <c r="AIA8" s="36"/>
      <c r="AIB8" s="36"/>
      <c r="AIC8" s="36"/>
      <c r="AID8" s="36"/>
      <c r="AIE8" s="36"/>
      <c r="AIF8" s="36"/>
      <c r="AIG8" s="36"/>
      <c r="AIH8" s="36"/>
      <c r="AII8" s="36"/>
      <c r="AIJ8" s="36"/>
      <c r="AIK8" s="36"/>
      <c r="AIL8" s="36"/>
      <c r="AIM8" s="36"/>
      <c r="AIN8" s="36"/>
      <c r="AIO8" s="36"/>
      <c r="AIP8" s="36"/>
      <c r="AIQ8" s="36"/>
      <c r="AIR8" s="36"/>
      <c r="AIS8" s="36"/>
      <c r="AIT8" s="36"/>
      <c r="AIU8" s="36"/>
      <c r="AIV8" s="36"/>
      <c r="AIW8" s="36"/>
      <c r="AIX8" s="36"/>
      <c r="AIY8" s="36"/>
      <c r="AIZ8" s="36"/>
      <c r="AJA8" s="36"/>
      <c r="AJB8" s="36"/>
      <c r="AJC8" s="36"/>
      <c r="AJD8" s="36"/>
      <c r="AJE8" s="36"/>
      <c r="AJF8" s="36"/>
      <c r="AJG8" s="36"/>
      <c r="AJH8" s="36"/>
      <c r="AJI8" s="36"/>
      <c r="AJJ8" s="36"/>
      <c r="AJK8" s="36"/>
      <c r="AJL8" s="36"/>
      <c r="AJM8" s="36"/>
      <c r="AJN8" s="36"/>
      <c r="AJO8" s="36"/>
      <c r="AJP8" s="36"/>
      <c r="AJQ8" s="36"/>
      <c r="AJR8" s="36"/>
      <c r="AJS8" s="36"/>
      <c r="AJT8" s="36"/>
      <c r="AJU8" s="36"/>
      <c r="AJV8" s="36"/>
      <c r="AJW8" s="36"/>
      <c r="AJX8" s="36"/>
      <c r="AJY8" s="36"/>
      <c r="AJZ8" s="36"/>
      <c r="AKA8" s="36"/>
      <c r="AKB8" s="36"/>
      <c r="AKC8" s="36"/>
      <c r="AKD8" s="36"/>
      <c r="AKE8" s="36"/>
      <c r="AKF8" s="36"/>
      <c r="AKG8" s="36"/>
      <c r="AKH8" s="36"/>
      <c r="AKI8" s="36"/>
      <c r="AKJ8" s="36"/>
      <c r="AKK8" s="36"/>
      <c r="AKL8" s="36"/>
      <c r="AKM8" s="36"/>
      <c r="AKN8" s="36"/>
      <c r="AKO8" s="36"/>
      <c r="AKP8" s="36"/>
      <c r="AKQ8" s="36"/>
      <c r="AKR8" s="36"/>
      <c r="AKS8" s="36"/>
      <c r="AKT8" s="36"/>
      <c r="AKU8" s="36"/>
      <c r="AKV8" s="36"/>
      <c r="AKW8" s="36"/>
      <c r="AKX8" s="36"/>
      <c r="AKY8" s="36"/>
      <c r="AKZ8" s="36"/>
      <c r="ALA8" s="36"/>
      <c r="ALB8" s="36"/>
      <c r="ALC8" s="36"/>
      <c r="ALD8" s="36"/>
      <c r="ALE8" s="36"/>
      <c r="ALF8" s="36"/>
      <c r="ALG8" s="36"/>
      <c r="ALH8" s="36"/>
      <c r="ALI8" s="36"/>
      <c r="ALJ8" s="36"/>
      <c r="ALK8" s="36"/>
      <c r="ALL8" s="36"/>
      <c r="ALM8" s="36"/>
      <c r="ALN8" s="36"/>
      <c r="ALO8" s="36"/>
      <c r="ALP8" s="36"/>
      <c r="ALQ8" s="36"/>
      <c r="ALR8" s="36"/>
      <c r="ALS8" s="36"/>
      <c r="ALT8" s="36"/>
      <c r="ALU8" s="36"/>
      <c r="ALV8" s="36"/>
      <c r="ALW8" s="36"/>
      <c r="ALX8" s="36"/>
      <c r="ALY8" s="36"/>
      <c r="ALZ8" s="36"/>
      <c r="AMA8" s="36"/>
      <c r="AMB8" s="36"/>
      <c r="AMC8" s="36"/>
      <c r="AMD8" s="36"/>
      <c r="AME8" s="36"/>
      <c r="AMF8" s="36"/>
      <c r="AMG8" s="36"/>
      <c r="AMH8" s="36"/>
      <c r="AMI8" s="36"/>
      <c r="AMJ8" s="36"/>
      <c r="AMK8" s="36"/>
      <c r="AML8" s="36"/>
      <c r="AMM8" s="36"/>
      <c r="AMN8" s="36"/>
      <c r="AMO8" s="36"/>
      <c r="AMP8" s="36"/>
      <c r="AMQ8" s="36"/>
      <c r="AMR8" s="36"/>
      <c r="AMS8" s="36"/>
      <c r="AMT8" s="36"/>
      <c r="AMU8" s="36"/>
      <c r="AMV8" s="36"/>
      <c r="AMW8" s="36"/>
      <c r="AMX8" s="36"/>
      <c r="AMY8" s="36"/>
      <c r="AMZ8" s="36"/>
      <c r="ANA8" s="36"/>
      <c r="ANB8" s="36"/>
      <c r="ANC8" s="36"/>
      <c r="AND8" s="36"/>
      <c r="ANE8" s="36"/>
      <c r="ANF8" s="36"/>
      <c r="ANG8" s="36"/>
      <c r="ANH8" s="36"/>
      <c r="ANI8" s="36"/>
      <c r="ANJ8" s="36"/>
      <c r="ANK8" s="36"/>
      <c r="ANL8" s="36"/>
      <c r="ANM8" s="36"/>
      <c r="ANN8" s="36"/>
      <c r="ANO8" s="36"/>
      <c r="ANP8" s="36"/>
      <c r="ANQ8" s="36"/>
      <c r="ANR8" s="36"/>
      <c r="ANS8" s="36"/>
      <c r="ANT8" s="36"/>
      <c r="ANU8" s="36"/>
      <c r="ANV8" s="36"/>
      <c r="ANW8" s="36"/>
      <c r="ANX8" s="36"/>
      <c r="ANY8" s="36"/>
      <c r="ANZ8" s="36"/>
      <c r="AOA8" s="36"/>
      <c r="AOB8" s="36"/>
      <c r="AOC8" s="36"/>
      <c r="AOD8" s="36"/>
      <c r="AOE8" s="36"/>
      <c r="AOF8" s="36"/>
      <c r="AOG8" s="36"/>
      <c r="AOH8" s="36"/>
      <c r="AOI8" s="36"/>
      <c r="AOJ8" s="36"/>
      <c r="AOK8" s="36"/>
      <c r="AOL8" s="36"/>
      <c r="AOM8" s="36"/>
      <c r="AON8" s="36"/>
      <c r="AOO8" s="36"/>
      <c r="AOP8" s="36"/>
      <c r="AOQ8" s="36"/>
      <c r="AOR8" s="36"/>
      <c r="AOS8" s="36"/>
      <c r="AOT8" s="36"/>
      <c r="AOU8" s="36"/>
      <c r="AOV8" s="36"/>
      <c r="AOW8" s="36"/>
      <c r="AOX8" s="36"/>
      <c r="AOY8" s="36"/>
      <c r="AOZ8" s="36"/>
      <c r="APA8" s="36"/>
      <c r="APB8" s="36"/>
      <c r="APC8" s="36"/>
      <c r="APD8" s="36"/>
      <c r="APE8" s="36"/>
      <c r="APF8" s="36"/>
      <c r="APG8" s="36"/>
      <c r="APH8" s="36"/>
      <c r="API8" s="36"/>
      <c r="APJ8" s="36"/>
      <c r="APK8" s="36"/>
      <c r="APL8" s="36"/>
      <c r="APM8" s="36"/>
      <c r="APN8" s="36"/>
      <c r="APO8" s="36"/>
      <c r="APP8" s="36"/>
      <c r="APQ8" s="36"/>
      <c r="APR8" s="36"/>
      <c r="APS8" s="36"/>
      <c r="APT8" s="36"/>
      <c r="APU8" s="36"/>
      <c r="APV8" s="36"/>
      <c r="APW8" s="36"/>
      <c r="APX8" s="36"/>
      <c r="APY8" s="36"/>
      <c r="APZ8" s="36"/>
      <c r="AQA8" s="36"/>
      <c r="AQB8" s="36"/>
      <c r="AQC8" s="36"/>
      <c r="AQD8" s="36"/>
      <c r="AQE8" s="36"/>
      <c r="AQF8" s="36"/>
      <c r="AQG8" s="36"/>
      <c r="AQH8" s="36"/>
      <c r="AQI8" s="36"/>
      <c r="AQJ8" s="36"/>
      <c r="AQK8" s="36"/>
      <c r="AQL8" s="36"/>
      <c r="AQM8" s="36"/>
      <c r="AQN8" s="36"/>
      <c r="AQO8" s="36"/>
      <c r="AQP8" s="36"/>
      <c r="AQQ8" s="36"/>
      <c r="AQR8" s="36"/>
      <c r="AQS8" s="36"/>
      <c r="AQT8" s="36"/>
      <c r="AQU8" s="36"/>
      <c r="AQV8" s="36"/>
      <c r="AQW8" s="36"/>
      <c r="AQX8" s="36"/>
      <c r="AQY8" s="36"/>
      <c r="AQZ8" s="36"/>
      <c r="ARA8" s="36"/>
      <c r="ARB8" s="36"/>
      <c r="ARC8" s="36"/>
      <c r="ARD8" s="36"/>
      <c r="ARE8" s="36"/>
      <c r="ARF8" s="36"/>
      <c r="ARG8" s="36"/>
      <c r="ARH8" s="36"/>
      <c r="ARI8" s="36"/>
      <c r="ARJ8" s="36"/>
      <c r="ARK8" s="36"/>
      <c r="ARL8" s="36"/>
      <c r="ARM8" s="36"/>
      <c r="ARN8" s="36"/>
      <c r="ARO8" s="36"/>
      <c r="ARP8" s="36"/>
      <c r="ARQ8" s="36"/>
      <c r="ARR8" s="36"/>
      <c r="ARS8" s="36"/>
      <c r="ART8" s="36"/>
      <c r="ARU8" s="36"/>
      <c r="ARV8" s="36"/>
      <c r="ARW8" s="36"/>
      <c r="ARX8" s="36"/>
      <c r="ARY8" s="36"/>
      <c r="ARZ8" s="36"/>
      <c r="ASA8" s="36"/>
      <c r="ASB8" s="36"/>
      <c r="ASC8" s="36"/>
      <c r="ASD8" s="36"/>
      <c r="ASE8" s="36"/>
      <c r="ASF8" s="36"/>
      <c r="ASG8" s="36"/>
      <c r="ASH8" s="36"/>
      <c r="ASI8" s="36"/>
      <c r="ASJ8" s="36"/>
      <c r="ASK8" s="36"/>
      <c r="ASL8" s="36"/>
      <c r="ASM8" s="36"/>
      <c r="ASN8" s="36"/>
      <c r="ASO8" s="36"/>
      <c r="ASP8" s="36"/>
      <c r="ASQ8" s="36"/>
      <c r="ASR8" s="36"/>
      <c r="ASS8" s="36"/>
      <c r="AST8" s="36"/>
      <c r="ASU8" s="36"/>
      <c r="ASV8" s="36"/>
      <c r="ASW8" s="36"/>
      <c r="ASX8" s="36"/>
      <c r="ASY8" s="36"/>
      <c r="ASZ8" s="36"/>
      <c r="ATA8" s="36"/>
      <c r="ATB8" s="36"/>
      <c r="ATC8" s="36"/>
      <c r="ATD8" s="36"/>
      <c r="ATE8" s="36"/>
      <c r="ATF8" s="36"/>
      <c r="ATG8" s="36"/>
      <c r="ATH8" s="36"/>
      <c r="ATI8" s="36"/>
      <c r="ATJ8" s="36"/>
      <c r="ATK8" s="36"/>
      <c r="ATL8" s="36"/>
      <c r="ATM8" s="36"/>
      <c r="ATN8" s="36"/>
      <c r="ATO8" s="36"/>
      <c r="ATP8" s="36"/>
      <c r="ATQ8" s="36"/>
      <c r="ATR8" s="36"/>
      <c r="ATS8" s="36"/>
      <c r="ATT8" s="36"/>
      <c r="ATU8" s="36"/>
      <c r="ATV8" s="36"/>
      <c r="ATW8" s="36"/>
      <c r="ATX8" s="36"/>
      <c r="ATY8" s="36"/>
      <c r="ATZ8" s="36"/>
      <c r="AUA8" s="36"/>
      <c r="AUB8" s="36"/>
      <c r="AUC8" s="36"/>
      <c r="AUD8" s="36"/>
      <c r="AUE8" s="36"/>
      <c r="AUF8" s="36"/>
      <c r="AUG8" s="36"/>
      <c r="AUH8" s="36"/>
      <c r="AUI8" s="36"/>
      <c r="AUJ8" s="36"/>
      <c r="AUK8" s="36"/>
      <c r="AUL8" s="36"/>
      <c r="AUM8" s="36"/>
      <c r="AUN8" s="36"/>
      <c r="AUO8" s="36"/>
      <c r="AUP8" s="36"/>
      <c r="AUQ8" s="36"/>
      <c r="AUR8" s="36"/>
      <c r="AUS8" s="36"/>
      <c r="AUT8" s="36"/>
      <c r="AUU8" s="36"/>
      <c r="AUV8" s="36"/>
      <c r="AUW8" s="36"/>
      <c r="AUX8" s="36"/>
      <c r="AUY8" s="36"/>
      <c r="AUZ8" s="36"/>
      <c r="AVA8" s="36"/>
      <c r="AVB8" s="36"/>
      <c r="AVC8" s="36"/>
      <c r="AVD8" s="36"/>
      <c r="AVE8" s="36"/>
      <c r="AVF8" s="36"/>
      <c r="AVG8" s="36"/>
      <c r="AVH8" s="36"/>
      <c r="AVI8" s="36"/>
      <c r="AVJ8" s="36"/>
      <c r="AVK8" s="36"/>
      <c r="AVL8" s="36"/>
      <c r="AVM8" s="36"/>
      <c r="AVN8" s="36"/>
      <c r="AVO8" s="36"/>
      <c r="AVP8" s="36"/>
      <c r="AVQ8" s="36"/>
      <c r="AVR8" s="36"/>
      <c r="AVS8" s="36"/>
      <c r="AVT8" s="36"/>
      <c r="AVU8" s="36"/>
      <c r="AVV8" s="36"/>
      <c r="AVW8" s="36"/>
      <c r="AVX8" s="36"/>
      <c r="AVY8" s="36"/>
      <c r="AVZ8" s="36"/>
      <c r="AWA8" s="36"/>
      <c r="AWB8" s="36"/>
      <c r="AWC8" s="36"/>
      <c r="AWD8" s="36"/>
      <c r="AWE8" s="36"/>
      <c r="AWF8" s="36"/>
      <c r="AWG8" s="36"/>
      <c r="AWH8" s="36"/>
      <c r="AWI8" s="36"/>
      <c r="AWJ8" s="36"/>
      <c r="AWK8" s="36"/>
      <c r="AWL8" s="36"/>
      <c r="AWM8" s="36"/>
      <c r="AWN8" s="36"/>
      <c r="AWO8" s="36"/>
      <c r="AWP8" s="36"/>
      <c r="AWQ8" s="36"/>
      <c r="AWR8" s="36"/>
      <c r="AWS8" s="36"/>
      <c r="AWT8" s="36"/>
      <c r="AWU8" s="36"/>
      <c r="AWV8" s="36"/>
      <c r="AWW8" s="36"/>
      <c r="AWX8" s="36"/>
      <c r="AWY8" s="36"/>
      <c r="AWZ8" s="36"/>
      <c r="AXA8" s="36"/>
      <c r="AXB8" s="36"/>
      <c r="AXC8" s="36"/>
      <c r="AXD8" s="36"/>
      <c r="AXE8" s="36"/>
      <c r="AXF8" s="36"/>
      <c r="AXG8" s="36"/>
      <c r="AXH8" s="36"/>
      <c r="AXI8" s="36"/>
      <c r="AXJ8" s="36"/>
      <c r="AXK8" s="36"/>
      <c r="AXL8" s="36"/>
      <c r="AXM8" s="36"/>
      <c r="AXN8" s="36"/>
      <c r="AXO8" s="36"/>
      <c r="AXP8" s="36"/>
      <c r="AXQ8" s="36"/>
      <c r="AXR8" s="36"/>
      <c r="AXS8" s="36"/>
      <c r="AXT8" s="36"/>
      <c r="AXU8" s="36"/>
      <c r="AXV8" s="36"/>
      <c r="AXW8" s="36"/>
      <c r="AXX8" s="36"/>
      <c r="AXY8" s="36"/>
      <c r="AXZ8" s="36"/>
      <c r="AYA8" s="36"/>
      <c r="AYB8" s="36"/>
      <c r="AYC8" s="36"/>
      <c r="AYD8" s="36"/>
      <c r="AYE8" s="36"/>
      <c r="AYF8" s="36"/>
      <c r="AYG8" s="36"/>
      <c r="AYH8" s="36"/>
      <c r="AYI8" s="36"/>
      <c r="AYJ8" s="36"/>
      <c r="AYK8" s="36"/>
      <c r="AYL8" s="36"/>
      <c r="AYM8" s="36"/>
      <c r="AYN8" s="36"/>
      <c r="AYO8" s="36"/>
      <c r="AYP8" s="36"/>
      <c r="AYQ8" s="36"/>
      <c r="AYR8" s="36"/>
      <c r="AYS8" s="36"/>
      <c r="AYT8" s="36"/>
      <c r="AYU8" s="36"/>
      <c r="AYV8" s="36"/>
      <c r="AYW8" s="36"/>
      <c r="AYX8" s="36"/>
      <c r="AYY8" s="36"/>
      <c r="AYZ8" s="36"/>
      <c r="AZA8" s="36"/>
      <c r="AZB8" s="36"/>
      <c r="AZC8" s="36"/>
      <c r="AZD8" s="36"/>
      <c r="AZE8" s="36"/>
      <c r="AZF8" s="36"/>
      <c r="AZG8" s="36"/>
      <c r="AZH8" s="36"/>
      <c r="AZI8" s="36"/>
      <c r="AZJ8" s="36"/>
      <c r="AZK8" s="36"/>
      <c r="AZL8" s="36"/>
      <c r="AZM8" s="36"/>
      <c r="AZN8" s="36"/>
      <c r="AZO8" s="36"/>
      <c r="AZP8" s="36"/>
      <c r="AZQ8" s="36"/>
      <c r="AZR8" s="36"/>
      <c r="AZS8" s="36"/>
      <c r="AZT8" s="36"/>
      <c r="AZU8" s="36"/>
      <c r="AZV8" s="36"/>
      <c r="AZW8" s="36"/>
      <c r="AZX8" s="36"/>
      <c r="AZY8" s="36"/>
      <c r="AZZ8" s="36"/>
      <c r="BAA8" s="36"/>
      <c r="BAB8" s="36"/>
      <c r="BAC8" s="36"/>
      <c r="BAD8" s="36"/>
      <c r="BAE8" s="36"/>
      <c r="BAF8" s="36"/>
      <c r="BAG8" s="36"/>
      <c r="BAH8" s="36"/>
      <c r="BAI8" s="36"/>
      <c r="BAJ8" s="36"/>
      <c r="BAK8" s="36"/>
      <c r="BAL8" s="36"/>
      <c r="BAM8" s="36"/>
      <c r="BAN8" s="36"/>
      <c r="BAO8" s="36"/>
      <c r="BAP8" s="36"/>
      <c r="BAQ8" s="36"/>
      <c r="BAR8" s="36"/>
      <c r="BAS8" s="36"/>
      <c r="BAT8" s="36"/>
      <c r="BAU8" s="36"/>
      <c r="BAV8" s="36"/>
      <c r="BAW8" s="36"/>
      <c r="BAX8" s="36"/>
      <c r="BAY8" s="36"/>
      <c r="BAZ8" s="36"/>
      <c r="BBA8" s="36"/>
      <c r="BBB8" s="36"/>
      <c r="BBC8" s="36"/>
      <c r="BBD8" s="36"/>
      <c r="BBE8" s="36"/>
      <c r="BBF8" s="36"/>
      <c r="BBG8" s="36"/>
      <c r="BBH8" s="36"/>
      <c r="BBI8" s="36"/>
      <c r="BBJ8" s="36"/>
      <c r="BBK8" s="36"/>
      <c r="BBL8" s="36"/>
      <c r="BBM8" s="36"/>
      <c r="BBN8" s="36"/>
      <c r="BBO8" s="36"/>
      <c r="BBP8" s="36"/>
      <c r="BBQ8" s="36"/>
      <c r="BBR8" s="36"/>
      <c r="BBS8" s="36"/>
      <c r="BBT8" s="36"/>
      <c r="BBU8" s="36"/>
      <c r="BBV8" s="36"/>
      <c r="BBW8" s="36"/>
      <c r="BBX8" s="36"/>
      <c r="BBY8" s="36"/>
      <c r="BBZ8" s="36"/>
      <c r="BCA8" s="36"/>
      <c r="BCB8" s="36"/>
      <c r="BCC8" s="36"/>
      <c r="BCD8" s="36"/>
      <c r="BCE8" s="36"/>
      <c r="BCF8" s="36"/>
      <c r="BCG8" s="36"/>
      <c r="BCH8" s="36"/>
      <c r="BCI8" s="36"/>
      <c r="BCJ8" s="36"/>
      <c r="BCK8" s="36"/>
      <c r="BCL8" s="36"/>
      <c r="BCM8" s="36"/>
      <c r="BCN8" s="36"/>
      <c r="BCO8" s="36"/>
      <c r="BCP8" s="36"/>
      <c r="BCQ8" s="36"/>
      <c r="BCR8" s="36"/>
      <c r="BCS8" s="36"/>
      <c r="BCT8" s="36"/>
      <c r="BCU8" s="36"/>
      <c r="BCV8" s="36"/>
      <c r="BCW8" s="36"/>
      <c r="BCX8" s="36"/>
      <c r="BCY8" s="36"/>
      <c r="BCZ8" s="36"/>
      <c r="BDA8" s="36"/>
      <c r="BDB8" s="36"/>
      <c r="BDC8" s="36"/>
      <c r="BDD8" s="36"/>
      <c r="BDE8" s="36"/>
      <c r="BDF8" s="36"/>
      <c r="BDG8" s="36"/>
      <c r="BDH8" s="36"/>
      <c r="BDI8" s="36"/>
      <c r="BDJ8" s="36"/>
      <c r="BDK8" s="36"/>
      <c r="BDL8" s="36"/>
      <c r="BDM8" s="36"/>
      <c r="BDN8" s="36"/>
      <c r="BDO8" s="36"/>
      <c r="BDP8" s="36"/>
      <c r="BDQ8" s="36"/>
      <c r="BDR8" s="36"/>
      <c r="BDS8" s="36"/>
      <c r="BDT8" s="36"/>
      <c r="BDU8" s="36"/>
      <c r="BDV8" s="36"/>
      <c r="BDW8" s="36"/>
      <c r="BDX8" s="36"/>
      <c r="BDY8" s="36"/>
      <c r="BDZ8" s="36"/>
      <c r="BEA8" s="36"/>
      <c r="BEB8" s="36"/>
      <c r="BEC8" s="36"/>
      <c r="BED8" s="36"/>
      <c r="BEE8" s="36"/>
      <c r="BEF8" s="36"/>
      <c r="BEG8" s="36"/>
      <c r="BEH8" s="36"/>
      <c r="BEI8" s="36"/>
      <c r="BEJ8" s="36"/>
      <c r="BEK8" s="36"/>
      <c r="BEL8" s="36"/>
      <c r="BEM8" s="36"/>
      <c r="BEN8" s="36"/>
      <c r="BEO8" s="36"/>
      <c r="BEP8" s="36"/>
      <c r="BEQ8" s="36"/>
      <c r="BER8" s="36"/>
      <c r="BES8" s="36"/>
      <c r="BET8" s="36"/>
      <c r="BEU8" s="36"/>
      <c r="BEV8" s="36"/>
      <c r="BEW8" s="36"/>
      <c r="BEX8" s="36"/>
      <c r="BEY8" s="36"/>
      <c r="BEZ8" s="36"/>
      <c r="BFA8" s="36"/>
      <c r="BFB8" s="36"/>
      <c r="BFC8" s="36"/>
      <c r="BFD8" s="36"/>
      <c r="BFE8" s="36"/>
      <c r="BFF8" s="36"/>
      <c r="BFG8" s="36"/>
      <c r="BFH8" s="36"/>
      <c r="BFI8" s="36"/>
      <c r="BFJ8" s="36"/>
      <c r="BFK8" s="36"/>
      <c r="BFL8" s="36"/>
      <c r="BFM8" s="36"/>
      <c r="BFN8" s="36"/>
      <c r="BFO8" s="36"/>
      <c r="BFP8" s="36"/>
      <c r="BFQ8" s="36"/>
      <c r="BFR8" s="36"/>
      <c r="BFS8" s="36"/>
      <c r="BFT8" s="36"/>
      <c r="BFU8" s="36"/>
      <c r="BFV8" s="36"/>
      <c r="BFW8" s="36"/>
      <c r="BFX8" s="36"/>
      <c r="BFY8" s="36"/>
      <c r="BFZ8" s="36"/>
      <c r="BGA8" s="36"/>
      <c r="BGB8" s="36"/>
      <c r="BGC8" s="36"/>
      <c r="BGD8" s="36"/>
      <c r="BGE8" s="36"/>
      <c r="BGF8" s="36"/>
      <c r="BGG8" s="36"/>
      <c r="BGH8" s="36"/>
      <c r="BGI8" s="36"/>
      <c r="BGJ8" s="36"/>
      <c r="BGK8" s="36"/>
      <c r="BGL8" s="36"/>
      <c r="BGM8" s="36"/>
      <c r="BGN8" s="36"/>
      <c r="BGO8" s="36"/>
      <c r="BGP8" s="36"/>
      <c r="BGQ8" s="36"/>
      <c r="BGR8" s="36"/>
      <c r="BGS8" s="36"/>
      <c r="BGT8" s="36"/>
      <c r="BGU8" s="36"/>
      <c r="BGV8" s="36"/>
      <c r="BGW8" s="36"/>
      <c r="BGX8" s="36"/>
      <c r="BGY8" s="36"/>
      <c r="BGZ8" s="36"/>
      <c r="BHA8" s="36"/>
      <c r="BHB8" s="36"/>
      <c r="BHC8" s="36"/>
      <c r="BHD8" s="36"/>
      <c r="BHE8" s="36"/>
      <c r="BHF8" s="36"/>
      <c r="BHG8" s="36"/>
      <c r="BHH8" s="36"/>
      <c r="BHI8" s="36"/>
      <c r="BHJ8" s="36"/>
      <c r="BHK8" s="36"/>
      <c r="BHL8" s="36"/>
      <c r="BHM8" s="36"/>
      <c r="BHN8" s="36"/>
      <c r="BHO8" s="36"/>
      <c r="BHP8" s="36"/>
      <c r="BHQ8" s="36"/>
      <c r="BHR8" s="36"/>
      <c r="BHS8" s="36"/>
      <c r="BHT8" s="36"/>
      <c r="BHU8" s="36"/>
      <c r="BHV8" s="36"/>
      <c r="BHW8" s="36"/>
      <c r="BHX8" s="36"/>
      <c r="BHY8" s="36"/>
      <c r="BHZ8" s="36"/>
      <c r="BIA8" s="36"/>
      <c r="BIB8" s="36"/>
      <c r="BIC8" s="36"/>
      <c r="BID8" s="36"/>
      <c r="BIE8" s="36"/>
      <c r="BIF8" s="36"/>
      <c r="BIG8" s="36"/>
      <c r="BIH8" s="36"/>
      <c r="BII8" s="36"/>
      <c r="BIJ8" s="36"/>
      <c r="BIK8" s="36"/>
      <c r="BIL8" s="36"/>
      <c r="BIM8" s="36"/>
      <c r="BIN8" s="36"/>
      <c r="BIO8" s="36"/>
      <c r="BIP8" s="36"/>
      <c r="BIQ8" s="36"/>
      <c r="BIR8" s="36"/>
      <c r="BIS8" s="36"/>
      <c r="BIT8" s="36"/>
      <c r="BIU8" s="36"/>
      <c r="BIV8" s="36"/>
      <c r="BIW8" s="36"/>
      <c r="BIX8" s="36"/>
      <c r="BIY8" s="36"/>
      <c r="BIZ8" s="36"/>
      <c r="BJA8" s="36"/>
      <c r="BJB8" s="36"/>
      <c r="BJC8" s="36"/>
      <c r="BJD8" s="36"/>
      <c r="BJE8" s="36"/>
      <c r="BJF8" s="36"/>
      <c r="BJG8" s="36"/>
      <c r="BJH8" s="36"/>
      <c r="BJI8" s="36"/>
      <c r="BJJ8" s="36"/>
      <c r="BJK8" s="36"/>
      <c r="BJL8" s="36"/>
      <c r="BJM8" s="36"/>
      <c r="BJN8" s="36"/>
      <c r="BJO8" s="36"/>
      <c r="BJP8" s="36"/>
      <c r="BJQ8" s="36"/>
      <c r="BJR8" s="36"/>
      <c r="BJS8" s="36"/>
      <c r="BJT8" s="36"/>
      <c r="BJU8" s="36"/>
      <c r="BJV8" s="36"/>
      <c r="BJW8" s="36"/>
      <c r="BJX8" s="36"/>
      <c r="BJY8" s="36"/>
      <c r="BJZ8" s="36"/>
      <c r="BKA8" s="36"/>
      <c r="BKB8" s="36"/>
      <c r="BKC8" s="36"/>
      <c r="BKD8" s="36"/>
      <c r="BKE8" s="36"/>
      <c r="BKF8" s="36"/>
      <c r="BKG8" s="36"/>
      <c r="BKH8" s="36"/>
      <c r="BKI8" s="36"/>
      <c r="BKJ8" s="36"/>
      <c r="BKK8" s="36"/>
      <c r="BKL8" s="36"/>
      <c r="BKM8" s="36"/>
      <c r="BKN8" s="36"/>
      <c r="BKO8" s="36"/>
      <c r="BKP8" s="36"/>
      <c r="BKQ8" s="36"/>
      <c r="BKR8" s="36"/>
      <c r="BKS8" s="36"/>
      <c r="BKT8" s="36"/>
      <c r="BKU8" s="36"/>
      <c r="BKV8" s="36"/>
      <c r="BKW8" s="36"/>
      <c r="BKX8" s="36"/>
      <c r="BKY8" s="36"/>
      <c r="BKZ8" s="36"/>
      <c r="BLA8" s="36"/>
      <c r="BLB8" s="36"/>
      <c r="BLC8" s="36"/>
      <c r="BLD8" s="36"/>
      <c r="BLE8" s="36"/>
      <c r="BLF8" s="36"/>
      <c r="BLG8" s="36"/>
      <c r="BLH8" s="36"/>
      <c r="BLI8" s="36"/>
      <c r="BLJ8" s="36"/>
      <c r="BLK8" s="36"/>
      <c r="BLL8" s="36"/>
      <c r="BLM8" s="36"/>
      <c r="BLN8" s="36"/>
      <c r="BLO8" s="36"/>
      <c r="BLP8" s="36"/>
      <c r="BLQ8" s="36"/>
      <c r="BLR8" s="36"/>
      <c r="BLS8" s="36"/>
      <c r="BLT8" s="36"/>
      <c r="BLU8" s="36"/>
      <c r="BLV8" s="36"/>
      <c r="BLW8" s="36"/>
      <c r="BLX8" s="36"/>
      <c r="BLY8" s="36"/>
      <c r="BLZ8" s="36"/>
      <c r="BMA8" s="36"/>
      <c r="BMB8" s="36"/>
      <c r="BMC8" s="36"/>
      <c r="BMD8" s="36"/>
      <c r="BME8" s="36"/>
      <c r="BMF8" s="36"/>
      <c r="BMG8" s="36"/>
      <c r="BMH8" s="36"/>
      <c r="BMI8" s="36"/>
      <c r="BMJ8" s="36"/>
      <c r="BMK8" s="36"/>
      <c r="BML8" s="36"/>
      <c r="BMM8" s="36"/>
      <c r="BMN8" s="36"/>
      <c r="BMO8" s="36"/>
      <c r="BMP8" s="36"/>
      <c r="BMQ8" s="36"/>
      <c r="BMR8" s="36"/>
      <c r="BMS8" s="36"/>
      <c r="BMT8" s="36"/>
      <c r="BMU8" s="36"/>
      <c r="BMV8" s="36"/>
      <c r="BMW8" s="36"/>
      <c r="BMX8" s="36"/>
      <c r="BMY8" s="36"/>
      <c r="BMZ8" s="36"/>
      <c r="BNA8" s="36"/>
      <c r="BNB8" s="36"/>
      <c r="BNC8" s="36"/>
      <c r="BND8" s="36"/>
      <c r="BNE8" s="36"/>
      <c r="BNF8" s="36"/>
      <c r="BNG8" s="36"/>
      <c r="BNH8" s="36"/>
      <c r="BNI8" s="36"/>
      <c r="BNJ8" s="36"/>
      <c r="BNK8" s="36"/>
      <c r="BNL8" s="36"/>
      <c r="BNM8" s="36"/>
      <c r="BNN8" s="36"/>
      <c r="BNO8" s="36"/>
      <c r="BNP8" s="36"/>
      <c r="BNQ8" s="36"/>
      <c r="BNR8" s="36"/>
      <c r="BNS8" s="36"/>
      <c r="BNT8" s="36"/>
      <c r="BNU8" s="36"/>
      <c r="BNV8" s="36"/>
      <c r="BNW8" s="36"/>
      <c r="BNX8" s="36"/>
      <c r="BNY8" s="36"/>
      <c r="BNZ8" s="36"/>
      <c r="BOA8" s="36"/>
      <c r="BOB8" s="36"/>
      <c r="BOC8" s="36"/>
      <c r="BOD8" s="36"/>
      <c r="BOE8" s="36"/>
      <c r="BOF8" s="36"/>
      <c r="BOG8" s="36"/>
      <c r="BOH8" s="36"/>
      <c r="BOI8" s="36"/>
      <c r="BOJ8" s="36"/>
      <c r="BOK8" s="36"/>
      <c r="BOL8" s="36"/>
      <c r="BOM8" s="36"/>
      <c r="BON8" s="36"/>
      <c r="BOO8" s="36"/>
      <c r="BOP8" s="36"/>
      <c r="BOQ8" s="36"/>
      <c r="BOR8" s="36"/>
      <c r="BOS8" s="36"/>
      <c r="BOT8" s="36"/>
      <c r="BOU8" s="36"/>
      <c r="BOV8" s="36"/>
      <c r="BOW8" s="36"/>
      <c r="BOX8" s="36"/>
      <c r="BOY8" s="36"/>
      <c r="BOZ8" s="36"/>
      <c r="BPA8" s="36"/>
      <c r="BPB8" s="36"/>
      <c r="BPC8" s="36"/>
      <c r="BPD8" s="36"/>
      <c r="BPE8" s="36"/>
      <c r="BPF8" s="36"/>
      <c r="BPG8" s="36"/>
      <c r="BPH8" s="36"/>
      <c r="BPI8" s="36"/>
      <c r="BPJ8" s="36"/>
      <c r="BPK8" s="36"/>
      <c r="BPL8" s="36"/>
      <c r="BPM8" s="36"/>
      <c r="BPN8" s="36"/>
      <c r="BPO8" s="36"/>
      <c r="BPP8" s="36"/>
      <c r="BPQ8" s="36"/>
      <c r="BPR8" s="36"/>
      <c r="BPS8" s="36"/>
      <c r="BPT8" s="36"/>
      <c r="BPU8" s="36"/>
      <c r="BPV8" s="36"/>
      <c r="BPW8" s="36"/>
      <c r="BPX8" s="36"/>
      <c r="BPY8" s="36"/>
      <c r="BPZ8" s="36"/>
      <c r="BQA8" s="36"/>
      <c r="BQB8" s="36"/>
      <c r="BQC8" s="36"/>
      <c r="BQD8" s="36"/>
      <c r="BQE8" s="36"/>
      <c r="BQF8" s="36"/>
      <c r="BQG8" s="36"/>
      <c r="BQH8" s="36"/>
      <c r="BQI8" s="36"/>
      <c r="BQJ8" s="36"/>
      <c r="BQK8" s="36"/>
      <c r="BQL8" s="36"/>
      <c r="BQM8" s="36"/>
      <c r="BQN8" s="36"/>
      <c r="BQO8" s="36"/>
      <c r="BQP8" s="36"/>
      <c r="BQQ8" s="36"/>
      <c r="BQR8" s="36"/>
      <c r="BQS8" s="36"/>
      <c r="BQT8" s="36"/>
      <c r="BQU8" s="36"/>
      <c r="BQV8" s="36"/>
      <c r="BQW8" s="36"/>
      <c r="BQX8" s="36"/>
      <c r="BQY8" s="36"/>
      <c r="BQZ8" s="36"/>
      <c r="BRA8" s="36"/>
      <c r="BRB8" s="36"/>
      <c r="BRC8" s="36"/>
      <c r="BRD8" s="36"/>
      <c r="BRE8" s="36"/>
      <c r="BRF8" s="36"/>
      <c r="BRG8" s="36"/>
      <c r="BRH8" s="36"/>
      <c r="BRI8" s="36"/>
      <c r="BRJ8" s="36"/>
      <c r="BRK8" s="36"/>
      <c r="BRL8" s="36"/>
      <c r="BRM8" s="36"/>
      <c r="BRN8" s="36"/>
      <c r="BRO8" s="36"/>
      <c r="BRP8" s="36"/>
      <c r="BRQ8" s="36"/>
      <c r="BRR8" s="36"/>
      <c r="BRS8" s="36"/>
      <c r="BRT8" s="36"/>
      <c r="BRU8" s="36"/>
      <c r="BRV8" s="36"/>
      <c r="BRW8" s="36"/>
      <c r="BRX8" s="36"/>
      <c r="BRY8" s="36"/>
      <c r="BRZ8" s="36"/>
      <c r="BSA8" s="36"/>
      <c r="BSB8" s="36"/>
      <c r="BSC8" s="36"/>
      <c r="BSD8" s="36"/>
      <c r="BSE8" s="36"/>
      <c r="BSF8" s="36"/>
      <c r="BSG8" s="36"/>
      <c r="BSH8" s="36"/>
      <c r="BSI8" s="36"/>
      <c r="BSJ8" s="36"/>
      <c r="BSK8" s="36"/>
      <c r="BSL8" s="36"/>
      <c r="BSM8" s="36"/>
      <c r="BSN8" s="36"/>
      <c r="BSO8" s="36"/>
      <c r="BSP8" s="36"/>
      <c r="BSQ8" s="36"/>
      <c r="BSR8" s="36"/>
      <c r="BSS8" s="36"/>
      <c r="BST8" s="36"/>
      <c r="BSU8" s="36"/>
      <c r="BSV8" s="36"/>
      <c r="BSW8" s="36"/>
      <c r="BSX8" s="36"/>
      <c r="BSY8" s="36"/>
      <c r="BSZ8" s="36"/>
      <c r="BTA8" s="36"/>
      <c r="BTB8" s="36"/>
      <c r="BTC8" s="36"/>
      <c r="BTD8" s="36"/>
      <c r="BTE8" s="36"/>
      <c r="BTF8" s="36"/>
      <c r="BTG8" s="36"/>
      <c r="BTH8" s="36"/>
      <c r="BTI8" s="36"/>
      <c r="BTJ8" s="36"/>
      <c r="BTK8" s="36"/>
      <c r="BTL8" s="36"/>
      <c r="BTM8" s="36"/>
      <c r="BTN8" s="36"/>
      <c r="BTO8" s="36"/>
      <c r="BTP8" s="36"/>
      <c r="BTQ8" s="36"/>
      <c r="BTR8" s="36"/>
      <c r="BTS8" s="36"/>
      <c r="BTT8" s="36"/>
      <c r="BTU8" s="36"/>
      <c r="BTV8" s="36"/>
      <c r="BTW8" s="36"/>
      <c r="BTX8" s="36"/>
      <c r="BTY8" s="36"/>
      <c r="BTZ8" s="36"/>
      <c r="BUA8" s="36"/>
      <c r="BUB8" s="36"/>
      <c r="BUC8" s="36"/>
      <c r="BUD8" s="36"/>
      <c r="BUE8" s="36"/>
      <c r="BUF8" s="36"/>
      <c r="BUG8" s="36"/>
      <c r="BUH8" s="36"/>
      <c r="BUI8" s="36"/>
      <c r="BUJ8" s="36"/>
      <c r="BUK8" s="36"/>
      <c r="BUL8" s="36"/>
      <c r="BUM8" s="36"/>
      <c r="BUN8" s="36"/>
      <c r="BUO8" s="36"/>
      <c r="BUP8" s="36"/>
      <c r="BUQ8" s="36"/>
      <c r="BUR8" s="36"/>
      <c r="BUS8" s="36"/>
      <c r="BUT8" s="36"/>
      <c r="BUU8" s="36"/>
      <c r="BUV8" s="36"/>
      <c r="BUW8" s="36"/>
      <c r="BUX8" s="36"/>
      <c r="BUY8" s="36"/>
      <c r="BUZ8" s="36"/>
      <c r="BVA8" s="36"/>
      <c r="BVB8" s="36"/>
      <c r="BVC8" s="36"/>
      <c r="BVD8" s="36"/>
      <c r="BVE8" s="36"/>
      <c r="BVF8" s="36"/>
      <c r="BVG8" s="36"/>
      <c r="BVH8" s="36"/>
      <c r="BVI8" s="36"/>
      <c r="BVJ8" s="36"/>
      <c r="BVK8" s="36"/>
      <c r="BVL8" s="36"/>
      <c r="BVM8" s="36"/>
      <c r="BVN8" s="36"/>
      <c r="BVO8" s="36"/>
      <c r="BVP8" s="36"/>
      <c r="BVQ8" s="36"/>
      <c r="BVR8" s="36"/>
      <c r="BVS8" s="36"/>
      <c r="BVT8" s="36"/>
      <c r="BVU8" s="36"/>
      <c r="BVV8" s="36"/>
      <c r="BVW8" s="36"/>
      <c r="BVX8" s="36"/>
      <c r="BVY8" s="36"/>
      <c r="BVZ8" s="36"/>
      <c r="BWA8" s="36"/>
      <c r="BWB8" s="36"/>
      <c r="BWC8" s="36"/>
      <c r="BWD8" s="36"/>
      <c r="BWE8" s="36"/>
      <c r="BWF8" s="36"/>
      <c r="BWG8" s="36"/>
      <c r="BWH8" s="36"/>
      <c r="BWI8" s="36"/>
      <c r="BWJ8" s="36"/>
      <c r="BWK8" s="36"/>
      <c r="BWL8" s="36"/>
      <c r="BWM8" s="36"/>
      <c r="BWN8" s="36"/>
      <c r="BWO8" s="36"/>
      <c r="BWP8" s="36"/>
      <c r="BWQ8" s="36"/>
      <c r="BWR8" s="36"/>
      <c r="BWS8" s="36"/>
      <c r="BWT8" s="36"/>
      <c r="BWU8" s="36"/>
      <c r="BWV8" s="36"/>
      <c r="BWW8" s="36"/>
      <c r="BWX8" s="36"/>
      <c r="BWY8" s="36"/>
      <c r="BWZ8" s="36"/>
      <c r="BXA8" s="36"/>
      <c r="BXB8" s="36"/>
      <c r="BXC8" s="36"/>
      <c r="BXD8" s="36"/>
      <c r="BXE8" s="36"/>
      <c r="BXF8" s="36"/>
      <c r="BXG8" s="36"/>
      <c r="BXH8" s="36"/>
      <c r="BXI8" s="36"/>
      <c r="BXJ8" s="36"/>
      <c r="BXK8" s="36"/>
      <c r="BXL8" s="36"/>
      <c r="BXM8" s="36"/>
      <c r="BXN8" s="36"/>
      <c r="BXO8" s="36"/>
      <c r="BXP8" s="36"/>
      <c r="BXQ8" s="36"/>
      <c r="BXR8" s="36"/>
      <c r="BXS8" s="36"/>
      <c r="BXT8" s="36"/>
      <c r="BXU8" s="36"/>
      <c r="BXV8" s="36"/>
      <c r="BXW8" s="36"/>
      <c r="BXX8" s="36"/>
      <c r="BXY8" s="36"/>
      <c r="BXZ8" s="36"/>
      <c r="BYA8" s="36"/>
      <c r="BYB8" s="36"/>
      <c r="BYC8" s="36"/>
      <c r="BYD8" s="36"/>
      <c r="BYE8" s="36"/>
      <c r="BYF8" s="36"/>
      <c r="BYG8" s="36"/>
      <c r="BYH8" s="36"/>
      <c r="BYI8" s="36"/>
      <c r="BYJ8" s="36"/>
      <c r="BYK8" s="36"/>
      <c r="BYL8" s="36"/>
      <c r="BYM8" s="36"/>
      <c r="BYN8" s="36"/>
      <c r="BYO8" s="36"/>
      <c r="BYP8" s="36"/>
      <c r="BYQ8" s="36"/>
      <c r="BYR8" s="36"/>
      <c r="BYS8" s="36"/>
      <c r="BYT8" s="36"/>
      <c r="BYU8" s="36"/>
      <c r="BYV8" s="36"/>
      <c r="BYW8" s="36"/>
      <c r="BYX8" s="36"/>
      <c r="BYY8" s="36"/>
      <c r="BYZ8" s="36"/>
      <c r="BZA8" s="36"/>
      <c r="BZB8" s="36"/>
      <c r="BZC8" s="36"/>
      <c r="BZD8" s="36"/>
      <c r="BZE8" s="36"/>
      <c r="BZF8" s="36"/>
      <c r="BZG8" s="36"/>
      <c r="BZH8" s="36"/>
      <c r="BZI8" s="36"/>
      <c r="BZJ8" s="36"/>
      <c r="BZK8" s="36"/>
      <c r="BZL8" s="36"/>
      <c r="BZM8" s="36"/>
      <c r="BZN8" s="36"/>
      <c r="BZO8" s="36"/>
      <c r="BZP8" s="36"/>
      <c r="BZQ8" s="36"/>
      <c r="BZR8" s="36"/>
      <c r="BZS8" s="36"/>
      <c r="BZT8" s="36"/>
      <c r="BZU8" s="36"/>
      <c r="BZV8" s="36"/>
      <c r="BZW8" s="36"/>
      <c r="BZX8" s="36"/>
      <c r="BZY8" s="36"/>
      <c r="BZZ8" s="36"/>
      <c r="CAA8" s="36"/>
      <c r="CAB8" s="36"/>
      <c r="CAC8" s="36"/>
      <c r="CAD8" s="36"/>
      <c r="CAE8" s="36"/>
      <c r="CAF8" s="36"/>
      <c r="CAG8" s="36"/>
      <c r="CAH8" s="36"/>
      <c r="CAI8" s="36"/>
      <c r="CAJ8" s="36"/>
      <c r="CAK8" s="36"/>
      <c r="CAL8" s="36"/>
      <c r="CAM8" s="36"/>
      <c r="CAN8" s="36"/>
      <c r="CAO8" s="36"/>
      <c r="CAP8" s="36"/>
      <c r="CAQ8" s="36"/>
      <c r="CAR8" s="36"/>
      <c r="CAS8" s="36"/>
      <c r="CAT8" s="36"/>
      <c r="CAU8" s="36"/>
      <c r="CAV8" s="36"/>
      <c r="CAW8" s="36"/>
      <c r="CAX8" s="36"/>
      <c r="CAY8" s="36"/>
      <c r="CAZ8" s="36"/>
      <c r="CBA8" s="36"/>
      <c r="CBB8" s="36"/>
      <c r="CBC8" s="36"/>
      <c r="CBD8" s="36"/>
      <c r="CBE8" s="36"/>
      <c r="CBF8" s="36"/>
      <c r="CBG8" s="36"/>
      <c r="CBH8" s="36"/>
      <c r="CBI8" s="36"/>
      <c r="CBJ8" s="36"/>
      <c r="CBK8" s="36"/>
      <c r="CBL8" s="36"/>
      <c r="CBM8" s="36"/>
      <c r="CBN8" s="36"/>
      <c r="CBO8" s="36"/>
      <c r="CBP8" s="36"/>
      <c r="CBQ8" s="36"/>
      <c r="CBR8" s="36"/>
      <c r="CBS8" s="36"/>
      <c r="CBT8" s="36"/>
      <c r="CBU8" s="36"/>
      <c r="CBV8" s="36"/>
      <c r="CBW8" s="36"/>
      <c r="CBX8" s="36"/>
      <c r="CBY8" s="36"/>
      <c r="CBZ8" s="36"/>
      <c r="CCA8" s="36"/>
      <c r="CCB8" s="36"/>
      <c r="CCC8" s="36"/>
      <c r="CCD8" s="36"/>
      <c r="CCE8" s="36"/>
      <c r="CCF8" s="36"/>
      <c r="CCG8" s="36"/>
      <c r="CCH8" s="36"/>
      <c r="CCI8" s="36"/>
      <c r="CCJ8" s="36"/>
      <c r="CCK8" s="36"/>
      <c r="CCL8" s="36"/>
      <c r="CCM8" s="36"/>
      <c r="CCN8" s="36"/>
      <c r="CCO8" s="36"/>
      <c r="CCP8" s="36"/>
      <c r="CCQ8" s="36"/>
      <c r="CCR8" s="36"/>
      <c r="CCS8" s="36"/>
      <c r="CCT8" s="36"/>
      <c r="CCU8" s="36"/>
      <c r="CCV8" s="36"/>
      <c r="CCW8" s="36"/>
      <c r="CCX8" s="36"/>
      <c r="CCY8" s="36"/>
      <c r="CCZ8" s="36"/>
      <c r="CDA8" s="36"/>
      <c r="CDB8" s="36"/>
      <c r="CDC8" s="36"/>
      <c r="CDD8" s="36"/>
      <c r="CDE8" s="36"/>
      <c r="CDF8" s="36"/>
      <c r="CDG8" s="36"/>
      <c r="CDH8" s="36"/>
      <c r="CDI8" s="36"/>
      <c r="CDJ8" s="36"/>
      <c r="CDK8" s="36"/>
      <c r="CDL8" s="36"/>
      <c r="CDM8" s="36"/>
      <c r="CDN8" s="36"/>
      <c r="CDO8" s="36"/>
      <c r="CDP8" s="36"/>
      <c r="CDQ8" s="36"/>
      <c r="CDR8" s="36"/>
      <c r="CDS8" s="36"/>
      <c r="CDT8" s="36"/>
      <c r="CDU8" s="36"/>
      <c r="CDV8" s="36"/>
      <c r="CDW8" s="36"/>
      <c r="CDX8" s="36"/>
      <c r="CDY8" s="36"/>
      <c r="CDZ8" s="36"/>
      <c r="CEA8" s="36"/>
      <c r="CEB8" s="36"/>
      <c r="CEC8" s="36"/>
      <c r="CED8" s="36"/>
      <c r="CEE8" s="36"/>
      <c r="CEF8" s="36"/>
      <c r="CEG8" s="36"/>
      <c r="CEH8" s="36"/>
      <c r="CEI8" s="36"/>
      <c r="CEJ8" s="36"/>
      <c r="CEK8" s="36"/>
      <c r="CEL8" s="36"/>
      <c r="CEM8" s="36"/>
      <c r="CEN8" s="36"/>
      <c r="CEO8" s="36"/>
      <c r="CEP8" s="36"/>
      <c r="CEQ8" s="36"/>
      <c r="CER8" s="36"/>
      <c r="CES8" s="36"/>
      <c r="CET8" s="36"/>
      <c r="CEU8" s="36"/>
      <c r="CEV8" s="36"/>
      <c r="CEW8" s="36"/>
      <c r="CEX8" s="36"/>
      <c r="CEY8" s="36"/>
      <c r="CEZ8" s="36"/>
      <c r="CFA8" s="36"/>
      <c r="CFB8" s="36"/>
      <c r="CFC8" s="36"/>
      <c r="CFD8" s="36"/>
      <c r="CFE8" s="36"/>
      <c r="CFF8" s="36"/>
      <c r="CFG8" s="36"/>
      <c r="CFH8" s="36"/>
      <c r="CFI8" s="36"/>
      <c r="CFJ8" s="36"/>
      <c r="CFK8" s="36"/>
      <c r="CFL8" s="36"/>
      <c r="CFM8" s="36"/>
      <c r="CFN8" s="36"/>
      <c r="CFO8" s="36"/>
      <c r="CFP8" s="36"/>
      <c r="CFQ8" s="36"/>
      <c r="CFR8" s="36"/>
      <c r="CFS8" s="36"/>
      <c r="CFT8" s="36"/>
      <c r="CFU8" s="36"/>
      <c r="CFV8" s="36"/>
      <c r="CFW8" s="36"/>
      <c r="CFX8" s="36"/>
      <c r="CFY8" s="36"/>
      <c r="CFZ8" s="36"/>
      <c r="CGA8" s="36"/>
      <c r="CGB8" s="36"/>
      <c r="CGC8" s="36"/>
      <c r="CGD8" s="36"/>
      <c r="CGE8" s="36"/>
      <c r="CGF8" s="36"/>
      <c r="CGG8" s="36"/>
      <c r="CGH8" s="36"/>
      <c r="CGI8" s="36"/>
      <c r="CGJ8" s="36"/>
      <c r="CGK8" s="36"/>
      <c r="CGL8" s="36"/>
      <c r="CGM8" s="36"/>
      <c r="CGN8" s="36"/>
      <c r="CGO8" s="36"/>
      <c r="CGP8" s="36"/>
      <c r="CGQ8" s="36"/>
      <c r="CGR8" s="36"/>
      <c r="CGS8" s="36"/>
      <c r="CGT8" s="36"/>
      <c r="CGU8" s="36"/>
      <c r="CGV8" s="36"/>
      <c r="CGW8" s="36"/>
      <c r="CGX8" s="36"/>
      <c r="CGY8" s="36"/>
      <c r="CGZ8" s="36"/>
      <c r="CHA8" s="36"/>
      <c r="CHB8" s="36"/>
      <c r="CHC8" s="36"/>
      <c r="CHD8" s="36"/>
      <c r="CHE8" s="36"/>
      <c r="CHF8" s="36"/>
      <c r="CHG8" s="36"/>
      <c r="CHH8" s="36"/>
      <c r="CHI8" s="36"/>
      <c r="CHJ8" s="36"/>
      <c r="CHK8" s="36"/>
      <c r="CHL8" s="36"/>
      <c r="CHM8" s="36"/>
      <c r="CHN8" s="36"/>
      <c r="CHO8" s="36"/>
      <c r="CHP8" s="36"/>
      <c r="CHQ8" s="36"/>
      <c r="CHR8" s="36"/>
      <c r="CHS8" s="36"/>
      <c r="CHT8" s="36"/>
      <c r="CHU8" s="36"/>
      <c r="CHV8" s="36"/>
      <c r="CHW8" s="36"/>
      <c r="CHX8" s="36"/>
      <c r="CHY8" s="36"/>
      <c r="CHZ8" s="36"/>
      <c r="CIA8" s="36"/>
      <c r="CIB8" s="36"/>
      <c r="CIC8" s="36"/>
      <c r="CID8" s="36"/>
      <c r="CIE8" s="36"/>
      <c r="CIF8" s="36"/>
      <c r="CIG8" s="36"/>
      <c r="CIH8" s="36"/>
      <c r="CII8" s="36"/>
      <c r="CIJ8" s="36"/>
      <c r="CIK8" s="36"/>
      <c r="CIL8" s="36"/>
      <c r="CIM8" s="36"/>
      <c r="CIN8" s="36"/>
      <c r="CIO8" s="36"/>
      <c r="CIP8" s="36"/>
      <c r="CIQ8" s="36"/>
      <c r="CIR8" s="36"/>
      <c r="CIS8" s="36"/>
      <c r="CIT8" s="36"/>
      <c r="CIU8" s="36"/>
      <c r="CIV8" s="36"/>
      <c r="CIW8" s="36"/>
      <c r="CIX8" s="36"/>
      <c r="CIY8" s="36"/>
      <c r="CIZ8" s="36"/>
      <c r="CJA8" s="36"/>
      <c r="CJB8" s="36"/>
      <c r="CJC8" s="36"/>
      <c r="CJD8" s="36"/>
      <c r="CJE8" s="36"/>
      <c r="CJF8" s="36"/>
      <c r="CJG8" s="36"/>
      <c r="CJH8" s="36"/>
      <c r="CJI8" s="36"/>
      <c r="CJJ8" s="36"/>
      <c r="CJK8" s="36"/>
      <c r="CJL8" s="36"/>
      <c r="CJM8" s="36"/>
      <c r="CJN8" s="36"/>
      <c r="CJO8" s="36"/>
      <c r="CJP8" s="36"/>
      <c r="CJQ8" s="36"/>
      <c r="CJR8" s="36"/>
      <c r="CJS8" s="36"/>
      <c r="CJT8" s="36"/>
      <c r="CJU8" s="36"/>
      <c r="CJV8" s="36"/>
      <c r="CJW8" s="36"/>
      <c r="CJX8" s="36"/>
      <c r="CJY8" s="36"/>
      <c r="CJZ8" s="36"/>
      <c r="CKA8" s="36"/>
      <c r="CKB8" s="36"/>
      <c r="CKC8" s="36"/>
      <c r="CKD8" s="36"/>
      <c r="CKE8" s="36"/>
      <c r="CKF8" s="36"/>
      <c r="CKG8" s="36"/>
      <c r="CKH8" s="36"/>
      <c r="CKI8" s="36"/>
      <c r="CKJ8" s="36"/>
      <c r="CKK8" s="36"/>
      <c r="CKL8" s="36"/>
      <c r="CKM8" s="36"/>
      <c r="CKN8" s="36"/>
      <c r="CKO8" s="36"/>
      <c r="CKP8" s="36"/>
      <c r="CKQ8" s="36"/>
      <c r="CKR8" s="36"/>
      <c r="CKS8" s="36"/>
      <c r="CKT8" s="36"/>
      <c r="CKU8" s="36"/>
      <c r="CKV8" s="36"/>
      <c r="CKW8" s="36"/>
      <c r="CKX8" s="36"/>
      <c r="CKY8" s="36"/>
      <c r="CKZ8" s="36"/>
      <c r="CLA8" s="36"/>
      <c r="CLB8" s="36"/>
      <c r="CLC8" s="36"/>
      <c r="CLD8" s="36"/>
      <c r="CLE8" s="36"/>
      <c r="CLF8" s="36"/>
      <c r="CLG8" s="36"/>
      <c r="CLH8" s="36"/>
      <c r="CLI8" s="36"/>
      <c r="CLJ8" s="36"/>
      <c r="CLK8" s="36"/>
      <c r="CLL8" s="36"/>
      <c r="CLM8" s="36"/>
      <c r="CLN8" s="36"/>
      <c r="CLO8" s="36"/>
      <c r="CLP8" s="36"/>
      <c r="CLQ8" s="36"/>
      <c r="CLR8" s="36"/>
      <c r="CLS8" s="36"/>
      <c r="CLT8" s="36"/>
      <c r="CLU8" s="36"/>
      <c r="CLV8" s="36"/>
      <c r="CLW8" s="36"/>
      <c r="CLX8" s="36"/>
      <c r="CLY8" s="36"/>
      <c r="CLZ8" s="36"/>
      <c r="CMA8" s="36"/>
      <c r="CMB8" s="36"/>
      <c r="CMC8" s="36"/>
      <c r="CMD8" s="36"/>
      <c r="CME8" s="36"/>
      <c r="CMF8" s="36"/>
      <c r="CMG8" s="36"/>
      <c r="CMH8" s="36"/>
      <c r="CMI8" s="36"/>
      <c r="CMJ8" s="36"/>
      <c r="CMK8" s="36"/>
      <c r="CML8" s="36"/>
      <c r="CMM8" s="36"/>
      <c r="CMN8" s="36"/>
      <c r="CMO8" s="36"/>
      <c r="CMP8" s="36"/>
      <c r="CMQ8" s="36"/>
      <c r="CMR8" s="36"/>
      <c r="CMS8" s="36"/>
      <c r="CMT8" s="36"/>
      <c r="CMU8" s="36"/>
      <c r="CMV8" s="36"/>
      <c r="CMW8" s="36"/>
      <c r="CMX8" s="36"/>
      <c r="CMY8" s="36"/>
      <c r="CMZ8" s="36"/>
      <c r="CNA8" s="36"/>
      <c r="CNB8" s="36"/>
      <c r="CNC8" s="36"/>
      <c r="CND8" s="36"/>
      <c r="CNE8" s="36"/>
      <c r="CNF8" s="36"/>
      <c r="CNG8" s="36"/>
      <c r="CNH8" s="36"/>
      <c r="CNI8" s="36"/>
      <c r="CNJ8" s="36"/>
      <c r="CNK8" s="36"/>
      <c r="CNL8" s="36"/>
      <c r="CNM8" s="36"/>
      <c r="CNN8" s="36"/>
      <c r="CNO8" s="36"/>
      <c r="CNP8" s="36"/>
      <c r="CNQ8" s="36"/>
      <c r="CNR8" s="36"/>
      <c r="CNS8" s="36"/>
      <c r="CNT8" s="36"/>
      <c r="CNU8" s="36"/>
      <c r="CNV8" s="36"/>
      <c r="CNW8" s="36"/>
      <c r="CNX8" s="36"/>
      <c r="CNY8" s="36"/>
      <c r="CNZ8" s="36"/>
      <c r="COA8" s="36"/>
      <c r="COB8" s="36"/>
      <c r="COC8" s="36"/>
      <c r="COD8" s="36"/>
      <c r="COE8" s="36"/>
      <c r="COF8" s="36"/>
      <c r="COG8" s="36"/>
      <c r="COH8" s="36"/>
      <c r="COI8" s="36"/>
      <c r="COJ8" s="36"/>
      <c r="COK8" s="36"/>
      <c r="COL8" s="36"/>
      <c r="COM8" s="36"/>
      <c r="CON8" s="36"/>
      <c r="COO8" s="36"/>
      <c r="COP8" s="36"/>
      <c r="COQ8" s="36"/>
      <c r="COR8" s="36"/>
      <c r="COS8" s="36"/>
      <c r="COT8" s="36"/>
      <c r="COU8" s="36"/>
      <c r="COV8" s="36"/>
      <c r="COW8" s="36"/>
      <c r="COX8" s="36"/>
      <c r="COY8" s="36"/>
      <c r="COZ8" s="36"/>
      <c r="CPA8" s="36"/>
      <c r="CPB8" s="36"/>
      <c r="CPC8" s="36"/>
      <c r="CPD8" s="36"/>
      <c r="CPE8" s="36"/>
      <c r="CPF8" s="36"/>
      <c r="CPG8" s="36"/>
      <c r="CPH8" s="36"/>
      <c r="CPI8" s="36"/>
      <c r="CPJ8" s="36"/>
      <c r="CPK8" s="36"/>
      <c r="CPL8" s="36"/>
      <c r="CPM8" s="36"/>
      <c r="CPN8" s="36"/>
      <c r="CPO8" s="36"/>
      <c r="CPP8" s="36"/>
      <c r="CPQ8" s="36"/>
      <c r="CPR8" s="36"/>
      <c r="CPS8" s="36"/>
      <c r="CPT8" s="36"/>
      <c r="CPU8" s="36"/>
      <c r="CPV8" s="36"/>
      <c r="CPW8" s="36"/>
      <c r="CPX8" s="36"/>
      <c r="CPY8" s="36"/>
      <c r="CPZ8" s="36"/>
      <c r="CQA8" s="36"/>
      <c r="CQB8" s="36"/>
      <c r="CQC8" s="36"/>
      <c r="CQD8" s="36"/>
      <c r="CQE8" s="36"/>
      <c r="CQF8" s="36"/>
      <c r="CQG8" s="36"/>
      <c r="CQH8" s="36"/>
      <c r="CQI8" s="36"/>
      <c r="CQJ8" s="36"/>
      <c r="CQK8" s="36"/>
      <c r="CQL8" s="36"/>
      <c r="CQM8" s="36"/>
      <c r="CQN8" s="36"/>
      <c r="CQO8" s="36"/>
      <c r="CQP8" s="36"/>
      <c r="CQQ8" s="36"/>
      <c r="CQR8" s="36"/>
      <c r="CQS8" s="36"/>
      <c r="CQT8" s="36"/>
      <c r="CQU8" s="36"/>
      <c r="CQV8" s="36"/>
      <c r="CQW8" s="36"/>
      <c r="CQX8" s="36"/>
      <c r="CQY8" s="36"/>
      <c r="CQZ8" s="36"/>
      <c r="CRA8" s="36"/>
      <c r="CRB8" s="36"/>
      <c r="CRC8" s="36"/>
      <c r="CRD8" s="36"/>
      <c r="CRE8" s="36"/>
      <c r="CRF8" s="36"/>
      <c r="CRG8" s="36"/>
      <c r="CRH8" s="36"/>
      <c r="CRI8" s="36"/>
      <c r="CRJ8" s="36"/>
      <c r="CRK8" s="36"/>
      <c r="CRL8" s="36"/>
      <c r="CRM8" s="36"/>
      <c r="CRN8" s="36"/>
      <c r="CRO8" s="36"/>
      <c r="CRP8" s="36"/>
      <c r="CRQ8" s="36"/>
      <c r="CRR8" s="36"/>
      <c r="CRS8" s="36"/>
      <c r="CRT8" s="36"/>
      <c r="CRU8" s="36"/>
      <c r="CRV8" s="36"/>
      <c r="CRW8" s="36"/>
      <c r="CRX8" s="36"/>
      <c r="CRY8" s="36"/>
      <c r="CRZ8" s="36"/>
      <c r="CSA8" s="36"/>
      <c r="CSB8" s="36"/>
      <c r="CSC8" s="36"/>
      <c r="CSD8" s="36"/>
      <c r="CSE8" s="36"/>
      <c r="CSF8" s="36"/>
      <c r="CSG8" s="36"/>
      <c r="CSH8" s="36"/>
      <c r="CSI8" s="36"/>
      <c r="CSJ8" s="36"/>
      <c r="CSK8" s="36"/>
      <c r="CSL8" s="36"/>
      <c r="CSM8" s="36"/>
      <c r="CSN8" s="36"/>
      <c r="CSO8" s="36"/>
      <c r="CSP8" s="36"/>
      <c r="CSQ8" s="36"/>
      <c r="CSR8" s="36"/>
      <c r="CSS8" s="36"/>
      <c r="CST8" s="36"/>
      <c r="CSU8" s="36"/>
      <c r="CSV8" s="36"/>
      <c r="CSW8" s="36"/>
      <c r="CSX8" s="36"/>
      <c r="CSY8" s="36"/>
      <c r="CSZ8" s="36"/>
      <c r="CTA8" s="36"/>
      <c r="CTB8" s="36"/>
      <c r="CTC8" s="36"/>
      <c r="CTD8" s="36"/>
      <c r="CTE8" s="36"/>
      <c r="CTF8" s="36"/>
      <c r="CTG8" s="36"/>
      <c r="CTH8" s="36"/>
      <c r="CTI8" s="36"/>
      <c r="CTJ8" s="36"/>
      <c r="CTK8" s="36"/>
      <c r="CTL8" s="36"/>
      <c r="CTM8" s="36"/>
      <c r="CTN8" s="36"/>
      <c r="CTO8" s="36"/>
      <c r="CTP8" s="36"/>
      <c r="CTQ8" s="36"/>
      <c r="CTR8" s="36"/>
      <c r="CTS8" s="36"/>
      <c r="CTT8" s="36"/>
      <c r="CTU8" s="36"/>
      <c r="CTV8" s="36"/>
      <c r="CTW8" s="36"/>
      <c r="CTX8" s="36"/>
      <c r="CTY8" s="36"/>
      <c r="CTZ8" s="36"/>
      <c r="CUA8" s="36"/>
      <c r="CUB8" s="36"/>
      <c r="CUC8" s="36"/>
      <c r="CUD8" s="36"/>
      <c r="CUE8" s="36"/>
      <c r="CUF8" s="36"/>
      <c r="CUG8" s="36"/>
      <c r="CUH8" s="36"/>
      <c r="CUI8" s="36"/>
      <c r="CUJ8" s="36"/>
      <c r="CUK8" s="36"/>
      <c r="CUL8" s="36"/>
      <c r="CUM8" s="36"/>
      <c r="CUN8" s="36"/>
      <c r="CUO8" s="36"/>
      <c r="CUP8" s="36"/>
      <c r="CUQ8" s="36"/>
      <c r="CUR8" s="36"/>
      <c r="CUS8" s="36"/>
      <c r="CUT8" s="36"/>
      <c r="CUU8" s="36"/>
      <c r="CUV8" s="36"/>
      <c r="CUW8" s="36"/>
      <c r="CUX8" s="36"/>
      <c r="CUY8" s="36"/>
      <c r="CUZ8" s="36"/>
      <c r="CVA8" s="36"/>
      <c r="CVB8" s="36"/>
      <c r="CVC8" s="36"/>
      <c r="CVD8" s="36"/>
      <c r="CVE8" s="36"/>
      <c r="CVF8" s="36"/>
      <c r="CVG8" s="36"/>
      <c r="CVH8" s="36"/>
      <c r="CVI8" s="36"/>
      <c r="CVJ8" s="36"/>
      <c r="CVK8" s="36"/>
      <c r="CVL8" s="36"/>
      <c r="CVM8" s="36"/>
      <c r="CVN8" s="36"/>
      <c r="CVO8" s="36"/>
      <c r="CVP8" s="36"/>
      <c r="CVQ8" s="36"/>
      <c r="CVR8" s="36"/>
      <c r="CVS8" s="36"/>
      <c r="CVT8" s="36"/>
      <c r="CVU8" s="36"/>
      <c r="CVV8" s="36"/>
      <c r="CVW8" s="36"/>
      <c r="CVX8" s="36"/>
      <c r="CVY8" s="36"/>
      <c r="CVZ8" s="36"/>
      <c r="CWA8" s="36"/>
      <c r="CWB8" s="36"/>
      <c r="CWC8" s="36"/>
      <c r="CWD8" s="36"/>
      <c r="CWE8" s="36"/>
      <c r="CWF8" s="36"/>
      <c r="CWG8" s="36"/>
      <c r="CWH8" s="36"/>
      <c r="CWI8" s="36"/>
      <c r="CWJ8" s="36"/>
      <c r="CWK8" s="36"/>
      <c r="CWL8" s="36"/>
      <c r="CWM8" s="36"/>
      <c r="CWN8" s="36"/>
      <c r="CWO8" s="36"/>
      <c r="CWP8" s="36"/>
      <c r="CWQ8" s="36"/>
      <c r="CWR8" s="36"/>
      <c r="CWS8" s="36"/>
      <c r="CWT8" s="36"/>
      <c r="CWU8" s="36"/>
      <c r="CWV8" s="36"/>
      <c r="CWW8" s="36"/>
      <c r="CWX8" s="36"/>
      <c r="CWY8" s="36"/>
      <c r="CWZ8" s="36"/>
      <c r="CXA8" s="36"/>
      <c r="CXB8" s="36"/>
      <c r="CXC8" s="36"/>
      <c r="CXD8" s="36"/>
      <c r="CXE8" s="36"/>
      <c r="CXF8" s="36"/>
      <c r="CXG8" s="36"/>
      <c r="CXH8" s="36"/>
      <c r="CXI8" s="36"/>
      <c r="CXJ8" s="36"/>
      <c r="CXK8" s="36"/>
      <c r="CXL8" s="36"/>
      <c r="CXM8" s="36"/>
      <c r="CXN8" s="36"/>
      <c r="CXO8" s="36"/>
      <c r="CXP8" s="36"/>
      <c r="CXQ8" s="36"/>
      <c r="CXR8" s="36"/>
      <c r="CXS8" s="36"/>
      <c r="CXT8" s="36"/>
      <c r="CXU8" s="36"/>
      <c r="CXV8" s="36"/>
      <c r="CXW8" s="36"/>
      <c r="CXX8" s="36"/>
      <c r="CXY8" s="36"/>
      <c r="CXZ8" s="36"/>
      <c r="CYA8" s="36"/>
      <c r="CYB8" s="36"/>
      <c r="CYC8" s="36"/>
      <c r="CYD8" s="36"/>
      <c r="CYE8" s="36"/>
      <c r="CYF8" s="36"/>
      <c r="CYG8" s="36"/>
      <c r="CYH8" s="36"/>
      <c r="CYI8" s="36"/>
      <c r="CYJ8" s="36"/>
      <c r="CYK8" s="36"/>
      <c r="CYL8" s="36"/>
      <c r="CYM8" s="36"/>
      <c r="CYN8" s="36"/>
      <c r="CYO8" s="36"/>
      <c r="CYP8" s="36"/>
      <c r="CYQ8" s="36"/>
      <c r="CYR8" s="36"/>
      <c r="CYS8" s="36"/>
      <c r="CYT8" s="36"/>
      <c r="CYU8" s="36"/>
      <c r="CYV8" s="36"/>
      <c r="CYW8" s="36"/>
      <c r="CYX8" s="36"/>
      <c r="CYY8" s="36"/>
      <c r="CYZ8" s="36"/>
      <c r="CZA8" s="36"/>
      <c r="CZB8" s="36"/>
      <c r="CZC8" s="36"/>
      <c r="CZD8" s="36"/>
      <c r="CZE8" s="36"/>
      <c r="CZF8" s="36"/>
      <c r="CZG8" s="36"/>
      <c r="CZH8" s="36"/>
      <c r="CZI8" s="36"/>
      <c r="CZJ8" s="36"/>
      <c r="CZK8" s="36"/>
      <c r="CZL8" s="36"/>
      <c r="CZM8" s="36"/>
      <c r="CZN8" s="36"/>
      <c r="CZO8" s="36"/>
      <c r="CZP8" s="36"/>
      <c r="CZQ8" s="36"/>
      <c r="CZR8" s="36"/>
      <c r="CZS8" s="36"/>
      <c r="CZT8" s="36"/>
      <c r="CZU8" s="36"/>
      <c r="CZV8" s="36"/>
      <c r="CZW8" s="36"/>
      <c r="CZX8" s="36"/>
      <c r="CZY8" s="36"/>
      <c r="CZZ8" s="36"/>
      <c r="DAA8" s="36"/>
      <c r="DAB8" s="36"/>
      <c r="DAC8" s="36"/>
      <c r="DAD8" s="36"/>
      <c r="DAE8" s="36"/>
      <c r="DAF8" s="36"/>
      <c r="DAG8" s="36"/>
      <c r="DAH8" s="36"/>
      <c r="DAI8" s="36"/>
      <c r="DAJ8" s="36"/>
      <c r="DAK8" s="36"/>
      <c r="DAL8" s="36"/>
      <c r="DAM8" s="36"/>
      <c r="DAN8" s="36"/>
      <c r="DAO8" s="36"/>
      <c r="DAP8" s="36"/>
      <c r="DAQ8" s="36"/>
      <c r="DAR8" s="36"/>
      <c r="DAS8" s="36"/>
      <c r="DAT8" s="36"/>
      <c r="DAU8" s="36"/>
      <c r="DAV8" s="36"/>
      <c r="DAW8" s="36"/>
      <c r="DAX8" s="36"/>
      <c r="DAY8" s="36"/>
      <c r="DAZ8" s="36"/>
      <c r="DBA8" s="36"/>
      <c r="DBB8" s="36"/>
      <c r="DBC8" s="36"/>
      <c r="DBD8" s="36"/>
      <c r="DBE8" s="36"/>
      <c r="DBF8" s="36"/>
      <c r="DBG8" s="36"/>
      <c r="DBH8" s="36"/>
      <c r="DBI8" s="36"/>
      <c r="DBJ8" s="36"/>
      <c r="DBK8" s="36"/>
      <c r="DBL8" s="36"/>
      <c r="DBM8" s="36"/>
      <c r="DBN8" s="36"/>
      <c r="DBO8" s="36"/>
      <c r="DBP8" s="36"/>
      <c r="DBQ8" s="36"/>
      <c r="DBR8" s="36"/>
      <c r="DBS8" s="36"/>
      <c r="DBT8" s="36"/>
      <c r="DBU8" s="36"/>
      <c r="DBV8" s="36"/>
      <c r="DBW8" s="36"/>
      <c r="DBX8" s="36"/>
      <c r="DBY8" s="36"/>
      <c r="DBZ8" s="36"/>
      <c r="DCA8" s="36"/>
      <c r="DCB8" s="36"/>
      <c r="DCC8" s="36"/>
      <c r="DCD8" s="36"/>
      <c r="DCE8" s="36"/>
      <c r="DCF8" s="36"/>
      <c r="DCG8" s="36"/>
      <c r="DCH8" s="36"/>
      <c r="DCI8" s="36"/>
      <c r="DCJ8" s="36"/>
      <c r="DCK8" s="36"/>
      <c r="DCL8" s="36"/>
      <c r="DCM8" s="36"/>
      <c r="DCN8" s="36"/>
      <c r="DCO8" s="36"/>
      <c r="DCP8" s="36"/>
      <c r="DCQ8" s="36"/>
      <c r="DCR8" s="36"/>
      <c r="DCS8" s="36"/>
      <c r="DCT8" s="36"/>
      <c r="DCU8" s="36"/>
      <c r="DCV8" s="36"/>
      <c r="DCW8" s="36"/>
      <c r="DCX8" s="36"/>
      <c r="DCY8" s="36"/>
      <c r="DCZ8" s="36"/>
      <c r="DDA8" s="36"/>
      <c r="DDB8" s="36"/>
      <c r="DDC8" s="36"/>
      <c r="DDD8" s="36"/>
      <c r="DDE8" s="36"/>
      <c r="DDF8" s="36"/>
      <c r="DDG8" s="36"/>
      <c r="DDH8" s="36"/>
      <c r="DDI8" s="36"/>
      <c r="DDJ8" s="36"/>
      <c r="DDK8" s="36"/>
      <c r="DDL8" s="36"/>
      <c r="DDM8" s="36"/>
      <c r="DDN8" s="36"/>
      <c r="DDO8" s="36"/>
      <c r="DDP8" s="36"/>
      <c r="DDQ8" s="36"/>
      <c r="DDR8" s="36"/>
      <c r="DDS8" s="36"/>
      <c r="DDT8" s="36"/>
      <c r="DDU8" s="36"/>
      <c r="DDV8" s="36"/>
      <c r="DDW8" s="36"/>
      <c r="DDX8" s="36"/>
      <c r="DDY8" s="36"/>
      <c r="DDZ8" s="36"/>
      <c r="DEA8" s="36"/>
      <c r="DEB8" s="36"/>
      <c r="DEC8" s="36"/>
      <c r="DED8" s="36"/>
      <c r="DEE8" s="36"/>
      <c r="DEF8" s="36"/>
      <c r="DEG8" s="36"/>
      <c r="DEH8" s="36"/>
      <c r="DEI8" s="36"/>
      <c r="DEJ8" s="36"/>
      <c r="DEK8" s="36"/>
      <c r="DEL8" s="36"/>
      <c r="DEM8" s="36"/>
      <c r="DEN8" s="36"/>
      <c r="DEO8" s="36"/>
      <c r="DEP8" s="36"/>
      <c r="DEQ8" s="36"/>
      <c r="DER8" s="36"/>
      <c r="DES8" s="36"/>
      <c r="DET8" s="36"/>
      <c r="DEU8" s="36"/>
      <c r="DEV8" s="36"/>
      <c r="DEW8" s="36"/>
      <c r="DEX8" s="36"/>
      <c r="DEY8" s="36"/>
      <c r="DEZ8" s="36"/>
      <c r="DFA8" s="36"/>
      <c r="DFB8" s="36"/>
      <c r="DFC8" s="36"/>
      <c r="DFD8" s="36"/>
      <c r="DFE8" s="36"/>
      <c r="DFF8" s="36"/>
      <c r="DFG8" s="36"/>
      <c r="DFH8" s="36"/>
      <c r="DFI8" s="36"/>
      <c r="DFJ8" s="36"/>
      <c r="DFK8" s="36"/>
      <c r="DFL8" s="36"/>
      <c r="DFM8" s="36"/>
      <c r="DFN8" s="36"/>
      <c r="DFO8" s="36"/>
      <c r="DFP8" s="36"/>
      <c r="DFQ8" s="36"/>
      <c r="DFR8" s="36"/>
      <c r="DFS8" s="36"/>
      <c r="DFT8" s="36"/>
      <c r="DFU8" s="36"/>
      <c r="DFV8" s="36"/>
      <c r="DFW8" s="36"/>
      <c r="DFX8" s="36"/>
      <c r="DFY8" s="36"/>
      <c r="DFZ8" s="36"/>
      <c r="DGA8" s="36"/>
      <c r="DGB8" s="36"/>
      <c r="DGC8" s="36"/>
      <c r="DGD8" s="36"/>
      <c r="DGE8" s="36"/>
      <c r="DGF8" s="36"/>
      <c r="DGG8" s="36"/>
      <c r="DGH8" s="36"/>
      <c r="DGI8" s="36"/>
      <c r="DGJ8" s="36"/>
      <c r="DGK8" s="36"/>
      <c r="DGL8" s="36"/>
      <c r="DGM8" s="36"/>
      <c r="DGN8" s="36"/>
      <c r="DGO8" s="36"/>
      <c r="DGP8" s="36"/>
      <c r="DGQ8" s="36"/>
      <c r="DGR8" s="36"/>
      <c r="DGS8" s="36"/>
      <c r="DGT8" s="36"/>
      <c r="DGU8" s="36"/>
      <c r="DGV8" s="36"/>
      <c r="DGW8" s="36"/>
      <c r="DGX8" s="36"/>
      <c r="DGY8" s="36"/>
      <c r="DGZ8" s="36"/>
      <c r="DHA8" s="36"/>
      <c r="DHB8" s="36"/>
      <c r="DHC8" s="36"/>
      <c r="DHD8" s="36"/>
      <c r="DHE8" s="36"/>
      <c r="DHF8" s="36"/>
      <c r="DHG8" s="36"/>
      <c r="DHH8" s="36"/>
      <c r="DHI8" s="36"/>
      <c r="DHJ8" s="36"/>
      <c r="DHK8" s="36"/>
      <c r="DHL8" s="36"/>
      <c r="DHM8" s="36"/>
      <c r="DHN8" s="36"/>
      <c r="DHO8" s="36"/>
      <c r="DHP8" s="36"/>
      <c r="DHQ8" s="36"/>
      <c r="DHR8" s="36"/>
      <c r="DHS8" s="36"/>
      <c r="DHT8" s="36"/>
      <c r="DHU8" s="36"/>
      <c r="DHV8" s="36"/>
      <c r="DHW8" s="36"/>
      <c r="DHX8" s="36"/>
      <c r="DHY8" s="36"/>
      <c r="DHZ8" s="36"/>
      <c r="DIA8" s="36"/>
      <c r="DIB8" s="36"/>
      <c r="DIC8" s="36"/>
      <c r="DID8" s="36"/>
      <c r="DIE8" s="36"/>
      <c r="DIF8" s="36"/>
      <c r="DIG8" s="36"/>
      <c r="DIH8" s="36"/>
      <c r="DII8" s="36"/>
      <c r="DIJ8" s="36"/>
      <c r="DIK8" s="36"/>
      <c r="DIL8" s="36"/>
      <c r="DIM8" s="36"/>
      <c r="DIN8" s="36"/>
      <c r="DIO8" s="36"/>
      <c r="DIP8" s="36"/>
      <c r="DIQ8" s="36"/>
      <c r="DIR8" s="36"/>
      <c r="DIS8" s="36"/>
      <c r="DIT8" s="36"/>
      <c r="DIU8" s="36"/>
      <c r="DIV8" s="36"/>
      <c r="DIW8" s="36"/>
      <c r="DIX8" s="36"/>
      <c r="DIY8" s="36"/>
      <c r="DIZ8" s="36"/>
      <c r="DJA8" s="36"/>
      <c r="DJB8" s="36"/>
      <c r="DJC8" s="36"/>
      <c r="DJD8" s="36"/>
      <c r="DJE8" s="36"/>
      <c r="DJF8" s="36"/>
      <c r="DJG8" s="36"/>
      <c r="DJH8" s="36"/>
      <c r="DJI8" s="36"/>
      <c r="DJJ8" s="36"/>
      <c r="DJK8" s="36"/>
      <c r="DJL8" s="36"/>
      <c r="DJM8" s="36"/>
      <c r="DJN8" s="36"/>
      <c r="DJO8" s="36"/>
      <c r="DJP8" s="36"/>
      <c r="DJQ8" s="36"/>
      <c r="DJR8" s="36"/>
      <c r="DJS8" s="36"/>
      <c r="DJT8" s="36"/>
      <c r="DJU8" s="36"/>
      <c r="DJV8" s="36"/>
      <c r="DJW8" s="36"/>
      <c r="DJX8" s="36"/>
      <c r="DJY8" s="36"/>
      <c r="DJZ8" s="36"/>
      <c r="DKA8" s="36"/>
      <c r="DKB8" s="36"/>
      <c r="DKC8" s="36"/>
      <c r="DKD8" s="36"/>
      <c r="DKE8" s="36"/>
      <c r="DKF8" s="36"/>
      <c r="DKG8" s="36"/>
      <c r="DKH8" s="36"/>
      <c r="DKI8" s="36"/>
      <c r="DKJ8" s="36"/>
      <c r="DKK8" s="36"/>
      <c r="DKL8" s="36"/>
      <c r="DKM8" s="36"/>
      <c r="DKN8" s="36"/>
      <c r="DKO8" s="36"/>
      <c r="DKP8" s="36"/>
      <c r="DKQ8" s="36"/>
      <c r="DKR8" s="36"/>
      <c r="DKS8" s="36"/>
      <c r="DKT8" s="36"/>
      <c r="DKU8" s="36"/>
      <c r="DKV8" s="36"/>
      <c r="DKW8" s="36"/>
      <c r="DKX8" s="36"/>
      <c r="DKY8" s="36"/>
      <c r="DKZ8" s="36"/>
      <c r="DLA8" s="36"/>
      <c r="DLB8" s="36"/>
      <c r="DLC8" s="36"/>
      <c r="DLD8" s="36"/>
      <c r="DLE8" s="36"/>
      <c r="DLF8" s="36"/>
      <c r="DLG8" s="36"/>
      <c r="DLH8" s="36"/>
      <c r="DLI8" s="36"/>
      <c r="DLJ8" s="36"/>
      <c r="DLK8" s="36"/>
      <c r="DLL8" s="36"/>
      <c r="DLM8" s="36"/>
      <c r="DLN8" s="36"/>
      <c r="DLO8" s="36"/>
      <c r="DLP8" s="36"/>
      <c r="DLQ8" s="36"/>
      <c r="DLR8" s="36"/>
      <c r="DLS8" s="36"/>
      <c r="DLT8" s="36"/>
      <c r="DLU8" s="36"/>
      <c r="DLV8" s="36"/>
      <c r="DLW8" s="36"/>
      <c r="DLX8" s="36"/>
      <c r="DLY8" s="36"/>
      <c r="DLZ8" s="36"/>
      <c r="DMA8" s="36"/>
      <c r="DMB8" s="36"/>
      <c r="DMC8" s="36"/>
      <c r="DMD8" s="36"/>
      <c r="DME8" s="36"/>
      <c r="DMF8" s="36"/>
      <c r="DMG8" s="36"/>
      <c r="DMH8" s="36"/>
      <c r="DMI8" s="36"/>
      <c r="DMJ8" s="36"/>
      <c r="DMK8" s="36"/>
      <c r="DML8" s="36"/>
      <c r="DMM8" s="36"/>
      <c r="DMN8" s="36"/>
      <c r="DMO8" s="36"/>
      <c r="DMP8" s="36"/>
      <c r="DMQ8" s="36"/>
      <c r="DMR8" s="36"/>
      <c r="DMS8" s="36"/>
      <c r="DMT8" s="36"/>
      <c r="DMU8" s="36"/>
      <c r="DMV8" s="36"/>
      <c r="DMW8" s="36"/>
      <c r="DMX8" s="36"/>
      <c r="DMY8" s="36"/>
      <c r="DMZ8" s="36"/>
      <c r="DNA8" s="36"/>
      <c r="DNB8" s="36"/>
      <c r="DNC8" s="36"/>
      <c r="DND8" s="36"/>
      <c r="DNE8" s="36"/>
      <c r="DNF8" s="36"/>
      <c r="DNG8" s="36"/>
      <c r="DNH8" s="36"/>
      <c r="DNI8" s="36"/>
      <c r="DNJ8" s="36"/>
      <c r="DNK8" s="36"/>
      <c r="DNL8" s="36"/>
      <c r="DNM8" s="36"/>
      <c r="DNN8" s="36"/>
      <c r="DNO8" s="36"/>
      <c r="DNP8" s="36"/>
      <c r="DNQ8" s="36"/>
      <c r="DNR8" s="36"/>
      <c r="DNS8" s="36"/>
      <c r="DNT8" s="36"/>
      <c r="DNU8" s="36"/>
      <c r="DNV8" s="36"/>
      <c r="DNW8" s="36"/>
      <c r="DNX8" s="36"/>
      <c r="DNY8" s="36"/>
      <c r="DNZ8" s="36"/>
      <c r="DOA8" s="36"/>
      <c r="DOB8" s="36"/>
      <c r="DOC8" s="36"/>
      <c r="DOD8" s="36"/>
      <c r="DOE8" s="36"/>
      <c r="DOF8" s="36"/>
      <c r="DOG8" s="36"/>
      <c r="DOH8" s="36"/>
      <c r="DOI8" s="36"/>
      <c r="DOJ8" s="36"/>
      <c r="DOK8" s="36"/>
      <c r="DOL8" s="36"/>
      <c r="DOM8" s="36"/>
      <c r="DON8" s="36"/>
      <c r="DOO8" s="36"/>
      <c r="DOP8" s="36"/>
      <c r="DOQ8" s="36"/>
      <c r="DOR8" s="36"/>
      <c r="DOS8" s="36"/>
      <c r="DOT8" s="36"/>
      <c r="DOU8" s="36"/>
      <c r="DOV8" s="36"/>
      <c r="DOW8" s="36"/>
      <c r="DOX8" s="36"/>
      <c r="DOY8" s="36"/>
      <c r="DOZ8" s="36"/>
      <c r="DPA8" s="36"/>
      <c r="DPB8" s="36"/>
      <c r="DPC8" s="36"/>
      <c r="DPD8" s="36"/>
      <c r="DPE8" s="36"/>
      <c r="DPF8" s="36"/>
      <c r="DPG8" s="36"/>
      <c r="DPH8" s="36"/>
      <c r="DPI8" s="36"/>
      <c r="DPJ8" s="36"/>
      <c r="DPK8" s="36"/>
      <c r="DPL8" s="36"/>
      <c r="DPM8" s="36"/>
      <c r="DPN8" s="36"/>
      <c r="DPO8" s="36"/>
      <c r="DPP8" s="36"/>
      <c r="DPQ8" s="36"/>
      <c r="DPR8" s="36"/>
      <c r="DPS8" s="36"/>
      <c r="DPT8" s="36"/>
      <c r="DPU8" s="36"/>
      <c r="DPV8" s="36"/>
      <c r="DPW8" s="36"/>
      <c r="DPX8" s="36"/>
      <c r="DPY8" s="36"/>
      <c r="DPZ8" s="36"/>
      <c r="DQA8" s="36"/>
      <c r="DQB8" s="36"/>
      <c r="DQC8" s="36"/>
      <c r="DQD8" s="36"/>
      <c r="DQE8" s="36"/>
      <c r="DQF8" s="36"/>
      <c r="DQG8" s="36"/>
      <c r="DQH8" s="36"/>
      <c r="DQI8" s="36"/>
      <c r="DQJ8" s="36"/>
      <c r="DQK8" s="36"/>
      <c r="DQL8" s="36"/>
      <c r="DQM8" s="36"/>
      <c r="DQN8" s="36"/>
      <c r="DQO8" s="36"/>
      <c r="DQP8" s="36"/>
      <c r="DQQ8" s="36"/>
      <c r="DQR8" s="36"/>
      <c r="DQS8" s="36"/>
      <c r="DQT8" s="36"/>
      <c r="DQU8" s="36"/>
      <c r="DQV8" s="36"/>
      <c r="DQW8" s="36"/>
      <c r="DQX8" s="36"/>
      <c r="DQY8" s="36"/>
      <c r="DQZ8" s="36"/>
      <c r="DRA8" s="36"/>
      <c r="DRB8" s="36"/>
      <c r="DRC8" s="36"/>
      <c r="DRD8" s="36"/>
      <c r="DRE8" s="36"/>
      <c r="DRF8" s="36"/>
      <c r="DRG8" s="36"/>
      <c r="DRH8" s="36"/>
      <c r="DRI8" s="36"/>
      <c r="DRJ8" s="36"/>
      <c r="DRK8" s="36"/>
      <c r="DRL8" s="36"/>
      <c r="DRM8" s="36"/>
      <c r="DRN8" s="36"/>
      <c r="DRO8" s="36"/>
      <c r="DRP8" s="36"/>
      <c r="DRQ8" s="36"/>
      <c r="DRR8" s="36"/>
      <c r="DRS8" s="36"/>
      <c r="DRT8" s="36"/>
      <c r="DRU8" s="36"/>
      <c r="DRV8" s="36"/>
      <c r="DRW8" s="36"/>
      <c r="DRX8" s="36"/>
      <c r="DRY8" s="36"/>
      <c r="DRZ8" s="36"/>
      <c r="DSA8" s="36"/>
      <c r="DSB8" s="36"/>
      <c r="DSC8" s="36"/>
      <c r="DSD8" s="36"/>
      <c r="DSE8" s="36"/>
      <c r="DSF8" s="36"/>
      <c r="DSG8" s="36"/>
      <c r="DSH8" s="36"/>
      <c r="DSI8" s="36"/>
      <c r="DSJ8" s="36"/>
      <c r="DSK8" s="36"/>
      <c r="DSL8" s="36"/>
      <c r="DSM8" s="36"/>
      <c r="DSN8" s="36"/>
      <c r="DSO8" s="36"/>
      <c r="DSP8" s="36"/>
      <c r="DSQ8" s="36"/>
      <c r="DSR8" s="36"/>
      <c r="DSS8" s="36"/>
      <c r="DST8" s="36"/>
      <c r="DSU8" s="36"/>
      <c r="DSV8" s="36"/>
      <c r="DSW8" s="36"/>
      <c r="DSX8" s="36"/>
      <c r="DSY8" s="36"/>
      <c r="DSZ8" s="36"/>
      <c r="DTA8" s="36"/>
      <c r="DTB8" s="36"/>
      <c r="DTC8" s="36"/>
      <c r="DTD8" s="36"/>
      <c r="DTE8" s="36"/>
      <c r="DTF8" s="36"/>
      <c r="DTG8" s="36"/>
      <c r="DTH8" s="36"/>
      <c r="DTI8" s="36"/>
      <c r="DTJ8" s="36"/>
      <c r="DTK8" s="36"/>
      <c r="DTL8" s="36"/>
      <c r="DTM8" s="36"/>
      <c r="DTN8" s="36"/>
      <c r="DTO8" s="36"/>
      <c r="DTP8" s="36"/>
      <c r="DTQ8" s="36"/>
      <c r="DTR8" s="36"/>
      <c r="DTS8" s="36"/>
      <c r="DTT8" s="36"/>
      <c r="DTU8" s="36"/>
      <c r="DTV8" s="36"/>
      <c r="DTW8" s="36"/>
      <c r="DTX8" s="36"/>
      <c r="DTY8" s="36"/>
      <c r="DTZ8" s="36"/>
      <c r="DUA8" s="36"/>
      <c r="DUB8" s="36"/>
      <c r="DUC8" s="36"/>
      <c r="DUD8" s="36"/>
      <c r="DUE8" s="36"/>
      <c r="DUF8" s="36"/>
      <c r="DUG8" s="36"/>
      <c r="DUH8" s="36"/>
      <c r="DUI8" s="36"/>
      <c r="DUJ8" s="36"/>
      <c r="DUK8" s="36"/>
      <c r="DUL8" s="36"/>
      <c r="DUM8" s="36"/>
      <c r="DUN8" s="36"/>
      <c r="DUO8" s="36"/>
      <c r="DUP8" s="36"/>
      <c r="DUQ8" s="36"/>
      <c r="DUR8" s="36"/>
      <c r="DUS8" s="36"/>
      <c r="DUT8" s="36"/>
      <c r="DUU8" s="36"/>
      <c r="DUV8" s="36"/>
      <c r="DUW8" s="36"/>
      <c r="DUX8" s="36"/>
      <c r="DUY8" s="36"/>
      <c r="DUZ8" s="36"/>
      <c r="DVA8" s="36"/>
      <c r="DVB8" s="36"/>
      <c r="DVC8" s="36"/>
      <c r="DVD8" s="36"/>
      <c r="DVE8" s="36"/>
      <c r="DVF8" s="36"/>
      <c r="DVG8" s="36"/>
      <c r="DVH8" s="36"/>
      <c r="DVI8" s="36"/>
      <c r="DVJ8" s="36"/>
      <c r="DVK8" s="36"/>
      <c r="DVL8" s="36"/>
      <c r="DVM8" s="36"/>
      <c r="DVN8" s="36"/>
      <c r="DVO8" s="36"/>
      <c r="DVP8" s="36"/>
      <c r="DVQ8" s="36"/>
      <c r="DVR8" s="36"/>
      <c r="DVS8" s="36"/>
      <c r="DVT8" s="36"/>
      <c r="DVU8" s="36"/>
      <c r="DVV8" s="36"/>
      <c r="DVW8" s="36"/>
      <c r="DVX8" s="36"/>
      <c r="DVY8" s="36"/>
      <c r="DVZ8" s="36"/>
      <c r="DWA8" s="36"/>
      <c r="DWB8" s="36"/>
      <c r="DWC8" s="36"/>
      <c r="DWD8" s="36"/>
      <c r="DWE8" s="36"/>
      <c r="DWF8" s="36"/>
      <c r="DWG8" s="36"/>
      <c r="DWH8" s="36"/>
      <c r="DWI8" s="36"/>
      <c r="DWJ8" s="36"/>
      <c r="DWK8" s="36"/>
      <c r="DWL8" s="36"/>
      <c r="DWM8" s="36"/>
      <c r="DWN8" s="36"/>
      <c r="DWO8" s="36"/>
      <c r="DWP8" s="36"/>
      <c r="DWQ8" s="36"/>
      <c r="DWR8" s="36"/>
      <c r="DWS8" s="36"/>
      <c r="DWT8" s="36"/>
      <c r="DWU8" s="36"/>
      <c r="DWV8" s="36"/>
      <c r="DWW8" s="36"/>
      <c r="DWX8" s="36"/>
      <c r="DWY8" s="36"/>
      <c r="DWZ8" s="36"/>
      <c r="DXA8" s="36"/>
      <c r="DXB8" s="36"/>
      <c r="DXC8" s="36"/>
      <c r="DXD8" s="36"/>
      <c r="DXE8" s="36"/>
      <c r="DXF8" s="36"/>
      <c r="DXG8" s="36"/>
      <c r="DXH8" s="36"/>
      <c r="DXI8" s="36"/>
      <c r="DXJ8" s="36"/>
      <c r="DXK8" s="36"/>
      <c r="DXL8" s="36"/>
      <c r="DXM8" s="36"/>
      <c r="DXN8" s="36"/>
      <c r="DXO8" s="36"/>
      <c r="DXP8" s="36"/>
      <c r="DXQ8" s="36"/>
      <c r="DXR8" s="36"/>
      <c r="DXS8" s="36"/>
      <c r="DXT8" s="36"/>
      <c r="DXU8" s="36"/>
      <c r="DXV8" s="36"/>
      <c r="DXW8" s="36"/>
      <c r="DXX8" s="36"/>
      <c r="DXY8" s="36"/>
      <c r="DXZ8" s="36"/>
      <c r="DYA8" s="36"/>
      <c r="DYB8" s="36"/>
      <c r="DYC8" s="36"/>
      <c r="DYD8" s="36"/>
      <c r="DYE8" s="36"/>
      <c r="DYF8" s="36"/>
      <c r="DYG8" s="36"/>
      <c r="DYH8" s="36"/>
      <c r="DYI8" s="36"/>
      <c r="DYJ8" s="36"/>
      <c r="DYK8" s="36"/>
      <c r="DYL8" s="36"/>
      <c r="DYM8" s="36"/>
      <c r="DYN8" s="36"/>
      <c r="DYO8" s="36"/>
      <c r="DYP8" s="36"/>
      <c r="DYQ8" s="36"/>
      <c r="DYR8" s="36"/>
      <c r="DYS8" s="36"/>
      <c r="DYT8" s="36"/>
      <c r="DYU8" s="36"/>
      <c r="DYV8" s="36"/>
      <c r="DYW8" s="36"/>
      <c r="DYX8" s="36"/>
      <c r="DYY8" s="36"/>
      <c r="DYZ8" s="36"/>
      <c r="DZA8" s="36"/>
      <c r="DZB8" s="36"/>
      <c r="DZC8" s="36"/>
      <c r="DZD8" s="36"/>
      <c r="DZE8" s="36"/>
      <c r="DZF8" s="36"/>
      <c r="DZG8" s="36"/>
      <c r="DZH8" s="36"/>
      <c r="DZI8" s="36"/>
      <c r="DZJ8" s="36"/>
      <c r="DZK8" s="36"/>
      <c r="DZL8" s="36"/>
      <c r="DZM8" s="36"/>
      <c r="DZN8" s="36"/>
      <c r="DZO8" s="36"/>
      <c r="DZP8" s="36"/>
      <c r="DZQ8" s="36"/>
      <c r="DZR8" s="36"/>
      <c r="DZS8" s="36"/>
      <c r="DZT8" s="36"/>
      <c r="DZU8" s="36"/>
      <c r="DZV8" s="36"/>
      <c r="DZW8" s="36"/>
      <c r="DZX8" s="36"/>
      <c r="DZY8" s="36"/>
      <c r="DZZ8" s="36"/>
      <c r="EAA8" s="36"/>
      <c r="EAB8" s="36"/>
      <c r="EAC8" s="36"/>
      <c r="EAD8" s="36"/>
      <c r="EAE8" s="36"/>
      <c r="EAF8" s="36"/>
      <c r="EAG8" s="36"/>
      <c r="EAH8" s="36"/>
      <c r="EAI8" s="36"/>
      <c r="EAJ8" s="36"/>
      <c r="EAK8" s="36"/>
      <c r="EAL8" s="36"/>
      <c r="EAM8" s="36"/>
      <c r="EAN8" s="36"/>
      <c r="EAO8" s="36"/>
      <c r="EAP8" s="36"/>
      <c r="EAQ8" s="36"/>
      <c r="EAR8" s="36"/>
      <c r="EAS8" s="36"/>
      <c r="EAT8" s="36"/>
      <c r="EAU8" s="36"/>
      <c r="EAV8" s="36"/>
      <c r="EAW8" s="36"/>
      <c r="EAX8" s="36"/>
      <c r="EAY8" s="36"/>
      <c r="EAZ8" s="36"/>
      <c r="EBA8" s="36"/>
      <c r="EBB8" s="36"/>
      <c r="EBC8" s="36"/>
      <c r="EBD8" s="36"/>
      <c r="EBE8" s="36"/>
      <c r="EBF8" s="36"/>
      <c r="EBG8" s="36"/>
      <c r="EBH8" s="36"/>
      <c r="EBI8" s="36"/>
      <c r="EBJ8" s="36"/>
      <c r="EBK8" s="36"/>
      <c r="EBL8" s="36"/>
      <c r="EBM8" s="36"/>
      <c r="EBN8" s="36"/>
      <c r="EBO8" s="36"/>
      <c r="EBP8" s="36"/>
      <c r="EBQ8" s="36"/>
      <c r="EBR8" s="36"/>
      <c r="EBS8" s="36"/>
      <c r="EBT8" s="36"/>
      <c r="EBU8" s="36"/>
      <c r="EBV8" s="36"/>
      <c r="EBW8" s="36"/>
      <c r="EBX8" s="36"/>
      <c r="EBY8" s="36"/>
      <c r="EBZ8" s="36"/>
      <c r="ECA8" s="36"/>
      <c r="ECB8" s="36"/>
      <c r="ECC8" s="36"/>
      <c r="ECD8" s="36"/>
      <c r="ECE8" s="36"/>
      <c r="ECF8" s="36"/>
      <c r="ECG8" s="36"/>
      <c r="ECH8" s="36"/>
      <c r="ECI8" s="36"/>
      <c r="ECJ8" s="36"/>
      <c r="ECK8" s="36"/>
      <c r="ECL8" s="36"/>
      <c r="ECM8" s="36"/>
      <c r="ECN8" s="36"/>
      <c r="ECO8" s="36"/>
      <c r="ECP8" s="36"/>
      <c r="ECQ8" s="36"/>
      <c r="ECR8" s="36"/>
      <c r="ECS8" s="36"/>
      <c r="ECT8" s="36"/>
      <c r="ECU8" s="36"/>
      <c r="ECV8" s="36"/>
      <c r="ECW8" s="36"/>
      <c r="ECX8" s="36"/>
      <c r="ECY8" s="36"/>
      <c r="ECZ8" s="36"/>
      <c r="EDA8" s="36"/>
      <c r="EDB8" s="36"/>
      <c r="EDC8" s="36"/>
      <c r="EDD8" s="36"/>
      <c r="EDE8" s="36"/>
      <c r="EDF8" s="36"/>
      <c r="EDG8" s="36"/>
      <c r="EDH8" s="36"/>
      <c r="EDI8" s="36"/>
      <c r="EDJ8" s="36"/>
      <c r="EDK8" s="36"/>
      <c r="EDL8" s="36"/>
      <c r="EDM8" s="36"/>
      <c r="EDN8" s="36"/>
      <c r="EDO8" s="36"/>
      <c r="EDP8" s="36"/>
      <c r="EDQ8" s="36"/>
      <c r="EDR8" s="36"/>
      <c r="EDS8" s="36"/>
      <c r="EDT8" s="36"/>
      <c r="EDU8" s="36"/>
      <c r="EDV8" s="36"/>
      <c r="EDW8" s="36"/>
      <c r="EDX8" s="36"/>
      <c r="EDY8" s="36"/>
      <c r="EDZ8" s="36"/>
      <c r="EEA8" s="36"/>
      <c r="EEB8" s="36"/>
      <c r="EEC8" s="36"/>
      <c r="EED8" s="36"/>
      <c r="EEE8" s="36"/>
      <c r="EEF8" s="36"/>
      <c r="EEG8" s="36"/>
      <c r="EEH8" s="36"/>
      <c r="EEI8" s="36"/>
      <c r="EEJ8" s="36"/>
      <c r="EEK8" s="36"/>
      <c r="EEL8" s="36"/>
      <c r="EEM8" s="36"/>
      <c r="EEN8" s="36"/>
      <c r="EEO8" s="36"/>
      <c r="EEP8" s="36"/>
      <c r="EEQ8" s="36"/>
      <c r="EER8" s="36"/>
      <c r="EES8" s="36"/>
      <c r="EET8" s="36"/>
      <c r="EEU8" s="36"/>
      <c r="EEV8" s="36"/>
      <c r="EEW8" s="36"/>
      <c r="EEX8" s="36"/>
      <c r="EEY8" s="36"/>
      <c r="EEZ8" s="36"/>
      <c r="EFA8" s="36"/>
      <c r="EFB8" s="36"/>
      <c r="EFC8" s="36"/>
      <c r="EFD8" s="36"/>
      <c r="EFE8" s="36"/>
      <c r="EFF8" s="36"/>
      <c r="EFG8" s="36"/>
      <c r="EFH8" s="36"/>
      <c r="EFI8" s="36"/>
      <c r="EFJ8" s="36"/>
      <c r="EFK8" s="36"/>
      <c r="EFL8" s="36"/>
      <c r="EFM8" s="36"/>
      <c r="EFN8" s="36"/>
      <c r="EFO8" s="36"/>
      <c r="EFP8" s="36"/>
      <c r="EFQ8" s="36"/>
      <c r="EFR8" s="36"/>
      <c r="EFS8" s="36"/>
      <c r="EFT8" s="36"/>
      <c r="EFU8" s="36"/>
      <c r="EFV8" s="36"/>
      <c r="EFW8" s="36"/>
      <c r="EFX8" s="36"/>
      <c r="EFY8" s="36"/>
      <c r="EFZ8" s="36"/>
      <c r="EGA8" s="36"/>
      <c r="EGB8" s="36"/>
      <c r="EGC8" s="36"/>
      <c r="EGD8" s="36"/>
      <c r="EGE8" s="36"/>
      <c r="EGF8" s="36"/>
      <c r="EGG8" s="36"/>
      <c r="EGH8" s="36"/>
      <c r="EGI8" s="36"/>
      <c r="EGJ8" s="36"/>
      <c r="EGK8" s="36"/>
      <c r="EGL8" s="36"/>
      <c r="EGM8" s="36"/>
      <c r="EGN8" s="36"/>
      <c r="EGO8" s="36"/>
      <c r="EGP8" s="36"/>
      <c r="EGQ8" s="36"/>
      <c r="EGR8" s="36"/>
      <c r="EGS8" s="36"/>
      <c r="EGT8" s="36"/>
      <c r="EGU8" s="36"/>
      <c r="EGV8" s="36"/>
      <c r="EGW8" s="36"/>
      <c r="EGX8" s="36"/>
      <c r="EGY8" s="36"/>
      <c r="EGZ8" s="36"/>
      <c r="EHA8" s="36"/>
      <c r="EHB8" s="36"/>
      <c r="EHC8" s="36"/>
      <c r="EHD8" s="36"/>
      <c r="EHE8" s="36"/>
      <c r="EHF8" s="36"/>
      <c r="EHG8" s="36"/>
      <c r="EHH8" s="36"/>
      <c r="EHI8" s="36"/>
      <c r="EHJ8" s="36"/>
      <c r="EHK8" s="36"/>
      <c r="EHL8" s="36"/>
      <c r="EHM8" s="36"/>
      <c r="EHN8" s="36"/>
      <c r="EHO8" s="36"/>
      <c r="EHP8" s="36"/>
      <c r="EHQ8" s="36"/>
      <c r="EHR8" s="36"/>
      <c r="EHS8" s="36"/>
      <c r="EHT8" s="36"/>
      <c r="EHU8" s="36"/>
      <c r="EHV8" s="36"/>
      <c r="EHW8" s="36"/>
      <c r="EHX8" s="36"/>
      <c r="EHY8" s="36"/>
      <c r="EHZ8" s="36"/>
      <c r="EIA8" s="36"/>
      <c r="EIB8" s="36"/>
      <c r="EIC8" s="36"/>
      <c r="EID8" s="36"/>
      <c r="EIE8" s="36"/>
      <c r="EIF8" s="36"/>
      <c r="EIG8" s="36"/>
      <c r="EIH8" s="36"/>
      <c r="EII8" s="36"/>
      <c r="EIJ8" s="36"/>
      <c r="EIK8" s="36"/>
      <c r="EIL8" s="36"/>
      <c r="EIM8" s="36"/>
      <c r="EIN8" s="36"/>
      <c r="EIO8" s="36"/>
      <c r="EIP8" s="36"/>
      <c r="EIQ8" s="36"/>
      <c r="EIR8" s="36"/>
      <c r="EIS8" s="36"/>
      <c r="EIT8" s="36"/>
      <c r="EIU8" s="36"/>
      <c r="EIV8" s="36"/>
      <c r="EIW8" s="36"/>
      <c r="EIX8" s="36"/>
      <c r="EIY8" s="36"/>
      <c r="EIZ8" s="36"/>
      <c r="EJA8" s="36"/>
      <c r="EJB8" s="36"/>
      <c r="EJC8" s="36"/>
      <c r="EJD8" s="36"/>
      <c r="EJE8" s="36"/>
      <c r="EJF8" s="36"/>
      <c r="EJG8" s="36"/>
      <c r="EJH8" s="36"/>
      <c r="EJI8" s="36"/>
      <c r="EJJ8" s="36"/>
      <c r="EJK8" s="36"/>
      <c r="EJL8" s="36"/>
      <c r="EJM8" s="36"/>
      <c r="EJN8" s="36"/>
      <c r="EJO8" s="36"/>
      <c r="EJP8" s="36"/>
      <c r="EJQ8" s="36"/>
      <c r="EJR8" s="36"/>
      <c r="EJS8" s="36"/>
      <c r="EJT8" s="36"/>
      <c r="EJU8" s="36"/>
      <c r="EJV8" s="36"/>
      <c r="EJW8" s="36"/>
      <c r="EJX8" s="36"/>
      <c r="EJY8" s="36"/>
      <c r="EJZ8" s="36"/>
      <c r="EKA8" s="36"/>
      <c r="EKB8" s="36"/>
      <c r="EKC8" s="36"/>
      <c r="EKD8" s="36"/>
      <c r="EKE8" s="36"/>
      <c r="EKF8" s="36"/>
      <c r="EKG8" s="36"/>
      <c r="EKH8" s="36"/>
      <c r="EKI8" s="36"/>
      <c r="EKJ8" s="36"/>
      <c r="EKK8" s="36"/>
      <c r="EKL8" s="36"/>
      <c r="EKM8" s="36"/>
      <c r="EKN8" s="36"/>
      <c r="EKO8" s="36"/>
      <c r="EKP8" s="36"/>
      <c r="EKQ8" s="36"/>
      <c r="EKR8" s="36"/>
      <c r="EKS8" s="36"/>
      <c r="EKT8" s="36"/>
      <c r="EKU8" s="36"/>
      <c r="EKV8" s="36"/>
      <c r="EKW8" s="36"/>
      <c r="EKX8" s="36"/>
      <c r="EKY8" s="36"/>
      <c r="EKZ8" s="36"/>
      <c r="ELA8" s="36"/>
      <c r="ELB8" s="36"/>
      <c r="ELC8" s="36"/>
      <c r="ELD8" s="36"/>
      <c r="ELE8" s="36"/>
      <c r="ELF8" s="36"/>
      <c r="ELG8" s="36"/>
      <c r="ELH8" s="36"/>
      <c r="ELI8" s="36"/>
      <c r="ELJ8" s="36"/>
      <c r="ELK8" s="36"/>
      <c r="ELL8" s="36"/>
      <c r="ELM8" s="36"/>
      <c r="ELN8" s="36"/>
      <c r="ELO8" s="36"/>
      <c r="ELP8" s="36"/>
      <c r="ELQ8" s="36"/>
      <c r="ELR8" s="36"/>
      <c r="ELS8" s="36"/>
      <c r="ELT8" s="36"/>
      <c r="ELU8" s="36"/>
      <c r="ELV8" s="36"/>
      <c r="ELW8" s="36"/>
      <c r="ELX8" s="36"/>
      <c r="ELY8" s="36"/>
      <c r="ELZ8" s="36"/>
      <c r="EMA8" s="36"/>
      <c r="EMB8" s="36"/>
      <c r="EMC8" s="36"/>
      <c r="EMD8" s="36"/>
      <c r="EME8" s="36"/>
      <c r="EMF8" s="36"/>
      <c r="EMG8" s="36"/>
      <c r="EMH8" s="36"/>
      <c r="EMI8" s="36"/>
      <c r="EMJ8" s="36"/>
      <c r="EMK8" s="36"/>
      <c r="EML8" s="36"/>
      <c r="EMM8" s="36"/>
      <c r="EMN8" s="36"/>
      <c r="EMO8" s="36"/>
      <c r="EMP8" s="36"/>
      <c r="EMQ8" s="36"/>
      <c r="EMR8" s="36"/>
      <c r="EMS8" s="36"/>
      <c r="EMT8" s="36"/>
      <c r="EMU8" s="36"/>
      <c r="EMV8" s="36"/>
      <c r="EMW8" s="36"/>
      <c r="EMX8" s="36"/>
      <c r="EMY8" s="36"/>
      <c r="EMZ8" s="36"/>
      <c r="ENA8" s="36"/>
      <c r="ENB8" s="36"/>
      <c r="ENC8" s="36"/>
      <c r="END8" s="36"/>
      <c r="ENE8" s="36"/>
      <c r="ENF8" s="36"/>
      <c r="ENG8" s="36"/>
      <c r="ENH8" s="36"/>
      <c r="ENI8" s="36"/>
      <c r="ENJ8" s="36"/>
      <c r="ENK8" s="36"/>
      <c r="ENL8" s="36"/>
      <c r="ENM8" s="36"/>
      <c r="ENN8" s="36"/>
      <c r="ENO8" s="36"/>
      <c r="ENP8" s="36"/>
      <c r="ENQ8" s="36"/>
      <c r="ENR8" s="36"/>
      <c r="ENS8" s="36"/>
      <c r="ENT8" s="36"/>
      <c r="ENU8" s="36"/>
      <c r="ENV8" s="36"/>
      <c r="ENW8" s="36"/>
      <c r="ENX8" s="36"/>
      <c r="ENY8" s="36"/>
      <c r="ENZ8" s="36"/>
      <c r="EOA8" s="36"/>
      <c r="EOB8" s="36"/>
      <c r="EOC8" s="36"/>
      <c r="EOD8" s="36"/>
      <c r="EOE8" s="36"/>
      <c r="EOF8" s="36"/>
      <c r="EOG8" s="36"/>
      <c r="EOH8" s="36"/>
      <c r="EOI8" s="36"/>
      <c r="EOJ8" s="36"/>
      <c r="EOK8" s="36"/>
      <c r="EOL8" s="36"/>
      <c r="EOM8" s="36"/>
      <c r="EON8" s="36"/>
      <c r="EOO8" s="36"/>
      <c r="EOP8" s="36"/>
      <c r="EOQ8" s="36"/>
      <c r="EOR8" s="36"/>
      <c r="EOS8" s="36"/>
      <c r="EOT8" s="36"/>
      <c r="EOU8" s="36"/>
      <c r="EOV8" s="36"/>
      <c r="EOW8" s="36"/>
      <c r="EOX8" s="36"/>
      <c r="EOY8" s="36"/>
      <c r="EOZ8" s="36"/>
      <c r="EPA8" s="36"/>
      <c r="EPB8" s="36"/>
      <c r="EPC8" s="36"/>
      <c r="EPD8" s="36"/>
      <c r="EPE8" s="36"/>
      <c r="EPF8" s="36"/>
      <c r="EPG8" s="36"/>
      <c r="EPH8" s="36"/>
      <c r="EPI8" s="36"/>
      <c r="EPJ8" s="36"/>
      <c r="EPK8" s="36"/>
      <c r="EPL8" s="36"/>
      <c r="EPM8" s="36"/>
      <c r="EPN8" s="36"/>
      <c r="EPO8" s="36"/>
      <c r="EPP8" s="36"/>
      <c r="EPQ8" s="36"/>
      <c r="EPR8" s="36"/>
      <c r="EPS8" s="36"/>
      <c r="EPT8" s="36"/>
      <c r="EPU8" s="36"/>
      <c r="EPV8" s="36"/>
      <c r="EPW8" s="36"/>
      <c r="EPX8" s="36"/>
      <c r="EPY8" s="36"/>
      <c r="EPZ8" s="36"/>
      <c r="EQA8" s="36"/>
      <c r="EQB8" s="36"/>
      <c r="EQC8" s="36"/>
      <c r="EQD8" s="36"/>
      <c r="EQE8" s="36"/>
      <c r="EQF8" s="36"/>
      <c r="EQG8" s="36"/>
      <c r="EQH8" s="36"/>
      <c r="EQI8" s="36"/>
      <c r="EQJ8" s="36"/>
      <c r="EQK8" s="36"/>
      <c r="EQL8" s="36"/>
      <c r="EQM8" s="36"/>
      <c r="EQN8" s="36"/>
      <c r="EQO8" s="36"/>
      <c r="EQP8" s="36"/>
      <c r="EQQ8" s="36"/>
      <c r="EQR8" s="36"/>
      <c r="EQS8" s="36"/>
      <c r="EQT8" s="36"/>
      <c r="EQU8" s="36"/>
      <c r="EQV8" s="36"/>
      <c r="EQW8" s="36"/>
      <c r="EQX8" s="36"/>
      <c r="EQY8" s="36"/>
      <c r="EQZ8" s="36"/>
      <c r="ERA8" s="36"/>
      <c r="ERB8" s="36"/>
      <c r="ERC8" s="36"/>
      <c r="ERD8" s="36"/>
      <c r="ERE8" s="36"/>
      <c r="ERF8" s="36"/>
      <c r="ERG8" s="36"/>
      <c r="ERH8" s="36"/>
      <c r="ERI8" s="36"/>
      <c r="ERJ8" s="36"/>
      <c r="ERK8" s="36"/>
      <c r="ERL8" s="36"/>
      <c r="ERM8" s="36"/>
      <c r="ERN8" s="36"/>
      <c r="ERO8" s="36"/>
      <c r="ERP8" s="36"/>
      <c r="ERQ8" s="36"/>
      <c r="ERR8" s="36"/>
      <c r="ERS8" s="36"/>
      <c r="ERT8" s="36"/>
      <c r="ERU8" s="36"/>
      <c r="ERV8" s="36"/>
      <c r="ERW8" s="36"/>
      <c r="ERX8" s="36"/>
      <c r="ERY8" s="36"/>
      <c r="ERZ8" s="36"/>
      <c r="ESA8" s="36"/>
      <c r="ESB8" s="36"/>
      <c r="ESC8" s="36"/>
      <c r="ESD8" s="36"/>
      <c r="ESE8" s="36"/>
      <c r="ESF8" s="36"/>
      <c r="ESG8" s="36"/>
      <c r="ESH8" s="36"/>
      <c r="ESI8" s="36"/>
      <c r="ESJ8" s="36"/>
      <c r="ESK8" s="36"/>
      <c r="ESL8" s="36"/>
      <c r="ESM8" s="36"/>
      <c r="ESN8" s="36"/>
      <c r="ESO8" s="36"/>
      <c r="ESP8" s="36"/>
      <c r="ESQ8" s="36"/>
      <c r="ESR8" s="36"/>
      <c r="ESS8" s="36"/>
      <c r="EST8" s="36"/>
      <c r="ESU8" s="36"/>
      <c r="ESV8" s="36"/>
      <c r="ESW8" s="36"/>
      <c r="ESX8" s="36"/>
      <c r="ESY8" s="36"/>
      <c r="ESZ8" s="36"/>
      <c r="ETA8" s="36"/>
      <c r="ETB8" s="36"/>
      <c r="ETC8" s="36"/>
      <c r="ETD8" s="36"/>
      <c r="ETE8" s="36"/>
      <c r="ETF8" s="36"/>
      <c r="ETG8" s="36"/>
      <c r="ETH8" s="36"/>
      <c r="ETI8" s="36"/>
      <c r="ETJ8" s="36"/>
      <c r="ETK8" s="36"/>
      <c r="ETL8" s="36"/>
      <c r="ETM8" s="36"/>
      <c r="ETN8" s="36"/>
      <c r="ETO8" s="36"/>
      <c r="ETP8" s="36"/>
      <c r="ETQ8" s="36"/>
      <c r="ETR8" s="36"/>
      <c r="ETS8" s="36"/>
      <c r="ETT8" s="36"/>
      <c r="ETU8" s="36"/>
      <c r="ETV8" s="36"/>
      <c r="ETW8" s="36"/>
      <c r="ETX8" s="36"/>
      <c r="ETY8" s="36"/>
      <c r="ETZ8" s="36"/>
      <c r="EUA8" s="36"/>
      <c r="EUB8" s="36"/>
      <c r="EUC8" s="36"/>
      <c r="EUD8" s="36"/>
      <c r="EUE8" s="36"/>
      <c r="EUF8" s="36"/>
      <c r="EUG8" s="36"/>
      <c r="EUH8" s="36"/>
      <c r="EUI8" s="36"/>
      <c r="EUJ8" s="36"/>
      <c r="EUK8" s="36"/>
      <c r="EUL8" s="36"/>
      <c r="EUM8" s="36"/>
      <c r="EUN8" s="36"/>
      <c r="EUO8" s="36"/>
      <c r="EUP8" s="36"/>
      <c r="EUQ8" s="36"/>
      <c r="EUR8" s="36"/>
      <c r="EUS8" s="36"/>
      <c r="EUT8" s="36"/>
      <c r="EUU8" s="36"/>
      <c r="EUV8" s="36"/>
      <c r="EUW8" s="36"/>
      <c r="EUX8" s="36"/>
      <c r="EUY8" s="36"/>
      <c r="EUZ8" s="36"/>
      <c r="EVA8" s="36"/>
      <c r="EVB8" s="36"/>
      <c r="EVC8" s="36"/>
      <c r="EVD8" s="36"/>
      <c r="EVE8" s="36"/>
      <c r="EVF8" s="36"/>
      <c r="EVG8" s="36"/>
      <c r="EVH8" s="36"/>
      <c r="EVI8" s="36"/>
      <c r="EVJ8" s="36"/>
      <c r="EVK8" s="36"/>
      <c r="EVL8" s="36"/>
      <c r="EVM8" s="36"/>
      <c r="EVN8" s="36"/>
      <c r="EVO8" s="36"/>
      <c r="EVP8" s="36"/>
      <c r="EVQ8" s="36"/>
      <c r="EVR8" s="36"/>
      <c r="EVS8" s="36"/>
      <c r="EVT8" s="36"/>
      <c r="EVU8" s="36"/>
      <c r="EVV8" s="36"/>
      <c r="EVW8" s="36"/>
      <c r="EVX8" s="36"/>
      <c r="EVY8" s="36"/>
      <c r="EVZ8" s="36"/>
      <c r="EWA8" s="36"/>
      <c r="EWB8" s="36"/>
      <c r="EWC8" s="36"/>
      <c r="EWD8" s="36"/>
      <c r="EWE8" s="36"/>
      <c r="EWF8" s="36"/>
      <c r="EWG8" s="36"/>
      <c r="EWH8" s="36"/>
      <c r="EWI8" s="36"/>
      <c r="EWJ8" s="36"/>
      <c r="EWK8" s="36"/>
      <c r="EWL8" s="36"/>
      <c r="EWM8" s="36"/>
      <c r="EWN8" s="36"/>
      <c r="EWO8" s="36"/>
      <c r="EWP8" s="36"/>
      <c r="EWQ8" s="36"/>
      <c r="EWR8" s="36"/>
      <c r="EWS8" s="36"/>
      <c r="EWT8" s="36"/>
      <c r="EWU8" s="36"/>
      <c r="EWV8" s="36"/>
      <c r="EWW8" s="36"/>
      <c r="EWX8" s="36"/>
      <c r="EWY8" s="36"/>
      <c r="EWZ8" s="36"/>
      <c r="EXA8" s="36"/>
      <c r="EXB8" s="36"/>
      <c r="EXC8" s="36"/>
      <c r="EXD8" s="36"/>
      <c r="EXE8" s="36"/>
      <c r="EXF8" s="36"/>
      <c r="EXG8" s="36"/>
      <c r="EXH8" s="36"/>
      <c r="EXI8" s="36"/>
      <c r="EXJ8" s="36"/>
      <c r="EXK8" s="36"/>
      <c r="EXL8" s="36"/>
      <c r="EXM8" s="36"/>
      <c r="EXN8" s="36"/>
      <c r="EXO8" s="36"/>
      <c r="EXP8" s="36"/>
      <c r="EXQ8" s="36"/>
      <c r="EXR8" s="36"/>
      <c r="EXS8" s="36"/>
      <c r="EXT8" s="36"/>
      <c r="EXU8" s="36"/>
      <c r="EXV8" s="36"/>
      <c r="EXW8" s="36"/>
      <c r="EXX8" s="36"/>
      <c r="EXY8" s="36"/>
      <c r="EXZ8" s="36"/>
      <c r="EYA8" s="36"/>
      <c r="EYB8" s="36"/>
      <c r="EYC8" s="36"/>
      <c r="EYD8" s="36"/>
      <c r="EYE8" s="36"/>
      <c r="EYF8" s="36"/>
      <c r="EYG8" s="36"/>
      <c r="EYH8" s="36"/>
      <c r="EYI8" s="36"/>
      <c r="EYJ8" s="36"/>
      <c r="EYK8" s="36"/>
      <c r="EYL8" s="36"/>
      <c r="EYM8" s="36"/>
      <c r="EYN8" s="36"/>
      <c r="EYO8" s="36"/>
      <c r="EYP8" s="36"/>
      <c r="EYQ8" s="36"/>
      <c r="EYR8" s="36"/>
      <c r="EYS8" s="36"/>
      <c r="EYT8" s="36"/>
      <c r="EYU8" s="36"/>
      <c r="EYV8" s="36"/>
      <c r="EYW8" s="36"/>
      <c r="EYX8" s="36"/>
      <c r="EYY8" s="36"/>
      <c r="EYZ8" s="36"/>
      <c r="EZA8" s="36"/>
      <c r="EZB8" s="36"/>
      <c r="EZC8" s="36"/>
      <c r="EZD8" s="36"/>
      <c r="EZE8" s="36"/>
      <c r="EZF8" s="36"/>
      <c r="EZG8" s="36"/>
      <c r="EZH8" s="36"/>
      <c r="EZI8" s="36"/>
      <c r="EZJ8" s="36"/>
      <c r="EZK8" s="36"/>
      <c r="EZL8" s="36"/>
      <c r="EZM8" s="36"/>
      <c r="EZN8" s="36"/>
      <c r="EZO8" s="36"/>
      <c r="EZP8" s="36"/>
      <c r="EZQ8" s="36"/>
      <c r="EZR8" s="36"/>
      <c r="EZS8" s="36"/>
      <c r="EZT8" s="36"/>
      <c r="EZU8" s="36"/>
      <c r="EZV8" s="36"/>
      <c r="EZW8" s="36"/>
      <c r="EZX8" s="36"/>
      <c r="EZY8" s="36"/>
      <c r="EZZ8" s="36"/>
      <c r="FAA8" s="36"/>
      <c r="FAB8" s="36"/>
      <c r="FAC8" s="36"/>
      <c r="FAD8" s="36"/>
      <c r="FAE8" s="36"/>
      <c r="FAF8" s="36"/>
      <c r="FAG8" s="36"/>
      <c r="FAH8" s="36"/>
      <c r="FAI8" s="36"/>
      <c r="FAJ8" s="36"/>
      <c r="FAK8" s="36"/>
      <c r="FAL8" s="36"/>
      <c r="FAM8" s="36"/>
      <c r="FAN8" s="36"/>
      <c r="FAO8" s="36"/>
      <c r="FAP8" s="36"/>
      <c r="FAQ8" s="36"/>
      <c r="FAR8" s="36"/>
      <c r="FAS8" s="36"/>
      <c r="FAT8" s="36"/>
      <c r="FAU8" s="36"/>
      <c r="FAV8" s="36"/>
      <c r="FAW8" s="36"/>
      <c r="FAX8" s="36"/>
      <c r="FAY8" s="36"/>
      <c r="FAZ8" s="36"/>
      <c r="FBA8" s="36"/>
      <c r="FBB8" s="36"/>
      <c r="FBC8" s="36"/>
      <c r="FBD8" s="36"/>
      <c r="FBE8" s="36"/>
      <c r="FBF8" s="36"/>
      <c r="FBG8" s="36"/>
      <c r="FBH8" s="36"/>
      <c r="FBI8" s="36"/>
      <c r="FBJ8" s="36"/>
      <c r="FBK8" s="36"/>
      <c r="FBL8" s="36"/>
      <c r="FBM8" s="36"/>
      <c r="FBN8" s="36"/>
      <c r="FBO8" s="36"/>
      <c r="FBP8" s="36"/>
      <c r="FBQ8" s="36"/>
      <c r="FBR8" s="36"/>
      <c r="FBS8" s="36"/>
      <c r="FBT8" s="36"/>
      <c r="FBU8" s="36"/>
      <c r="FBV8" s="36"/>
      <c r="FBW8" s="36"/>
      <c r="FBX8" s="36"/>
      <c r="FBY8" s="36"/>
      <c r="FBZ8" s="36"/>
      <c r="FCA8" s="36"/>
      <c r="FCB8" s="36"/>
      <c r="FCC8" s="36"/>
      <c r="FCD8" s="36"/>
      <c r="FCE8" s="36"/>
      <c r="FCF8" s="36"/>
      <c r="FCG8" s="36"/>
      <c r="FCH8" s="36"/>
      <c r="FCI8" s="36"/>
      <c r="FCJ8" s="36"/>
      <c r="FCK8" s="36"/>
      <c r="FCL8" s="36"/>
      <c r="FCM8" s="36"/>
      <c r="FCN8" s="36"/>
      <c r="FCO8" s="36"/>
      <c r="FCP8" s="36"/>
      <c r="FCQ8" s="36"/>
      <c r="FCR8" s="36"/>
      <c r="FCS8" s="36"/>
      <c r="FCT8" s="36"/>
      <c r="FCU8" s="36"/>
      <c r="FCV8" s="36"/>
      <c r="FCW8" s="36"/>
      <c r="FCX8" s="36"/>
      <c r="FCY8" s="36"/>
      <c r="FCZ8" s="36"/>
      <c r="FDA8" s="36"/>
      <c r="FDB8" s="36"/>
      <c r="FDC8" s="36"/>
      <c r="FDD8" s="36"/>
      <c r="FDE8" s="36"/>
      <c r="FDF8" s="36"/>
      <c r="FDG8" s="36"/>
      <c r="FDH8" s="36"/>
      <c r="FDI8" s="36"/>
      <c r="FDJ8" s="36"/>
      <c r="FDK8" s="36"/>
      <c r="FDL8" s="36"/>
      <c r="FDM8" s="36"/>
      <c r="FDN8" s="36"/>
      <c r="FDO8" s="36"/>
      <c r="FDP8" s="36"/>
      <c r="FDQ8" s="36"/>
      <c r="FDR8" s="36"/>
      <c r="FDS8" s="36"/>
      <c r="FDT8" s="36"/>
      <c r="FDU8" s="36"/>
      <c r="FDV8" s="36"/>
      <c r="FDW8" s="36"/>
      <c r="FDX8" s="36"/>
      <c r="FDY8" s="36"/>
      <c r="FDZ8" s="36"/>
      <c r="FEA8" s="36"/>
      <c r="FEB8" s="36"/>
      <c r="FEC8" s="36"/>
      <c r="FED8" s="36"/>
      <c r="FEE8" s="36"/>
      <c r="FEF8" s="36"/>
      <c r="FEG8" s="36"/>
      <c r="FEH8" s="36"/>
      <c r="FEI8" s="36"/>
      <c r="FEJ8" s="36"/>
      <c r="FEK8" s="36"/>
      <c r="FEL8" s="36"/>
      <c r="FEM8" s="36"/>
      <c r="FEN8" s="36"/>
      <c r="FEO8" s="36"/>
      <c r="FEP8" s="36"/>
      <c r="FEQ8" s="36"/>
      <c r="FER8" s="36"/>
      <c r="FES8" s="36"/>
      <c r="FET8" s="36"/>
      <c r="FEU8" s="36"/>
      <c r="FEV8" s="36"/>
      <c r="FEW8" s="36"/>
      <c r="FEX8" s="36"/>
      <c r="FEY8" s="36"/>
      <c r="FEZ8" s="36"/>
      <c r="FFA8" s="36"/>
      <c r="FFB8" s="36"/>
      <c r="FFC8" s="36"/>
      <c r="FFD8" s="36"/>
      <c r="FFE8" s="36"/>
      <c r="FFF8" s="36"/>
      <c r="FFG8" s="36"/>
      <c r="FFH8" s="36"/>
      <c r="FFI8" s="36"/>
      <c r="FFJ8" s="36"/>
      <c r="FFK8" s="36"/>
      <c r="FFL8" s="36"/>
      <c r="FFM8" s="36"/>
      <c r="FFN8" s="36"/>
      <c r="FFO8" s="36"/>
      <c r="FFP8" s="36"/>
      <c r="FFQ8" s="36"/>
      <c r="FFR8" s="36"/>
      <c r="FFS8" s="36"/>
      <c r="FFT8" s="36"/>
      <c r="FFU8" s="36"/>
      <c r="FFV8" s="36"/>
      <c r="FFW8" s="36"/>
      <c r="FFX8" s="36"/>
      <c r="FFY8" s="36"/>
      <c r="FFZ8" s="36"/>
      <c r="FGA8" s="36"/>
      <c r="FGB8" s="36"/>
      <c r="FGC8" s="36"/>
      <c r="FGD8" s="36"/>
      <c r="FGE8" s="36"/>
      <c r="FGF8" s="36"/>
      <c r="FGG8" s="36"/>
      <c r="FGH8" s="36"/>
      <c r="FGI8" s="36"/>
      <c r="FGJ8" s="36"/>
      <c r="FGK8" s="36"/>
      <c r="FGL8" s="36"/>
      <c r="FGM8" s="36"/>
      <c r="FGN8" s="36"/>
      <c r="FGO8" s="36"/>
      <c r="FGP8" s="36"/>
      <c r="FGQ8" s="36"/>
      <c r="FGR8" s="36"/>
      <c r="FGS8" s="36"/>
      <c r="FGT8" s="36"/>
      <c r="FGU8" s="36"/>
      <c r="FGV8" s="36"/>
      <c r="FGW8" s="36"/>
      <c r="FGX8" s="36"/>
      <c r="FGY8" s="36"/>
      <c r="FGZ8" s="36"/>
      <c r="FHA8" s="36"/>
      <c r="FHB8" s="36"/>
      <c r="FHC8" s="36"/>
      <c r="FHD8" s="36"/>
      <c r="FHE8" s="36"/>
      <c r="FHF8" s="36"/>
      <c r="FHG8" s="36"/>
      <c r="FHH8" s="36"/>
      <c r="FHI8" s="36"/>
      <c r="FHJ8" s="36"/>
      <c r="FHK8" s="36"/>
      <c r="FHL8" s="36"/>
      <c r="FHM8" s="36"/>
      <c r="FHN8" s="36"/>
      <c r="FHO8" s="36"/>
      <c r="FHP8" s="36"/>
      <c r="FHQ8" s="36"/>
      <c r="FHR8" s="36"/>
      <c r="FHS8" s="36"/>
      <c r="FHT8" s="36"/>
      <c r="FHU8" s="36"/>
      <c r="FHV8" s="36"/>
      <c r="FHW8" s="36"/>
      <c r="FHX8" s="36"/>
      <c r="FHY8" s="36"/>
      <c r="FHZ8" s="36"/>
      <c r="FIA8" s="36"/>
      <c r="FIB8" s="36"/>
      <c r="FIC8" s="36"/>
      <c r="FID8" s="36"/>
      <c r="FIE8" s="36"/>
      <c r="FIF8" s="36"/>
      <c r="FIG8" s="36"/>
      <c r="FIH8" s="36"/>
      <c r="FII8" s="36"/>
      <c r="FIJ8" s="36"/>
      <c r="FIK8" s="36"/>
      <c r="FIL8" s="36"/>
      <c r="FIM8" s="36"/>
      <c r="FIN8" s="36"/>
      <c r="FIO8" s="36"/>
      <c r="FIP8" s="36"/>
      <c r="FIQ8" s="36"/>
      <c r="FIR8" s="36"/>
      <c r="FIS8" s="36"/>
      <c r="FIT8" s="36"/>
      <c r="FIU8" s="36"/>
      <c r="FIV8" s="36"/>
      <c r="FIW8" s="36"/>
      <c r="FIX8" s="36"/>
      <c r="FIY8" s="36"/>
      <c r="FIZ8" s="36"/>
      <c r="FJA8" s="36"/>
      <c r="FJB8" s="36"/>
      <c r="FJC8" s="36"/>
      <c r="FJD8" s="36"/>
      <c r="FJE8" s="36"/>
      <c r="FJF8" s="36"/>
      <c r="FJG8" s="36"/>
      <c r="FJH8" s="36"/>
      <c r="FJI8" s="36"/>
      <c r="FJJ8" s="36"/>
      <c r="FJK8" s="36"/>
      <c r="FJL8" s="36"/>
      <c r="FJM8" s="36"/>
      <c r="FJN8" s="36"/>
      <c r="FJO8" s="36"/>
      <c r="FJP8" s="36"/>
      <c r="FJQ8" s="36"/>
      <c r="FJR8" s="36"/>
      <c r="FJS8" s="36"/>
      <c r="FJT8" s="36"/>
      <c r="FJU8" s="36"/>
      <c r="FJV8" s="36"/>
      <c r="FJW8" s="36"/>
      <c r="FJX8" s="36"/>
      <c r="FJY8" s="36"/>
      <c r="FJZ8" s="36"/>
      <c r="FKA8" s="36"/>
      <c r="FKB8" s="36"/>
      <c r="FKC8" s="36"/>
      <c r="FKD8" s="36"/>
      <c r="FKE8" s="36"/>
      <c r="FKF8" s="36"/>
      <c r="FKG8" s="36"/>
      <c r="FKH8" s="36"/>
      <c r="FKI8" s="36"/>
      <c r="FKJ8" s="36"/>
      <c r="FKK8" s="36"/>
      <c r="FKL8" s="36"/>
      <c r="FKM8" s="36"/>
      <c r="FKN8" s="36"/>
      <c r="FKO8" s="36"/>
      <c r="FKP8" s="36"/>
      <c r="FKQ8" s="36"/>
      <c r="FKR8" s="36"/>
      <c r="FKS8" s="36"/>
      <c r="FKT8" s="36"/>
      <c r="FKU8" s="36"/>
      <c r="FKV8" s="36"/>
      <c r="FKW8" s="36"/>
      <c r="FKX8" s="36"/>
      <c r="FKY8" s="36"/>
      <c r="FKZ8" s="36"/>
      <c r="FLA8" s="36"/>
      <c r="FLB8" s="36"/>
      <c r="FLC8" s="36"/>
      <c r="FLD8" s="36"/>
      <c r="FLE8" s="36"/>
      <c r="FLF8" s="36"/>
      <c r="FLG8" s="36"/>
      <c r="FLH8" s="36"/>
      <c r="FLI8" s="36"/>
      <c r="FLJ8" s="36"/>
      <c r="FLK8" s="36"/>
      <c r="FLL8" s="36"/>
      <c r="FLM8" s="36"/>
      <c r="FLN8" s="36"/>
      <c r="FLO8" s="36"/>
      <c r="FLP8" s="36"/>
      <c r="FLQ8" s="36"/>
      <c r="FLR8" s="36"/>
      <c r="FLS8" s="36"/>
      <c r="FLT8" s="36"/>
      <c r="FLU8" s="36"/>
      <c r="FLV8" s="36"/>
      <c r="FLW8" s="36"/>
      <c r="FLX8" s="36"/>
      <c r="FLY8" s="36"/>
      <c r="FLZ8" s="36"/>
      <c r="FMA8" s="36"/>
      <c r="FMB8" s="36"/>
      <c r="FMC8" s="36"/>
      <c r="FMD8" s="36"/>
      <c r="FME8" s="36"/>
      <c r="FMF8" s="36"/>
      <c r="FMG8" s="36"/>
      <c r="FMH8" s="36"/>
      <c r="FMI8" s="36"/>
      <c r="FMJ8" s="36"/>
      <c r="FMK8" s="36"/>
      <c r="FML8" s="36"/>
      <c r="FMM8" s="36"/>
      <c r="FMN8" s="36"/>
      <c r="FMO8" s="36"/>
      <c r="FMP8" s="36"/>
      <c r="FMQ8" s="36"/>
      <c r="FMR8" s="36"/>
      <c r="FMS8" s="36"/>
      <c r="FMT8" s="36"/>
      <c r="FMU8" s="36"/>
      <c r="FMV8" s="36"/>
      <c r="FMW8" s="36"/>
      <c r="FMX8" s="36"/>
      <c r="FMY8" s="36"/>
      <c r="FMZ8" s="36"/>
      <c r="FNA8" s="36"/>
      <c r="FNB8" s="36"/>
      <c r="FNC8" s="36"/>
      <c r="FND8" s="36"/>
      <c r="FNE8" s="36"/>
      <c r="FNF8" s="36"/>
      <c r="FNG8" s="36"/>
      <c r="FNH8" s="36"/>
      <c r="FNI8" s="36"/>
      <c r="FNJ8" s="36"/>
      <c r="FNK8" s="36"/>
      <c r="FNL8" s="36"/>
      <c r="FNM8" s="36"/>
      <c r="FNN8" s="36"/>
      <c r="FNO8" s="36"/>
      <c r="FNP8" s="36"/>
      <c r="FNQ8" s="36"/>
      <c r="FNR8" s="36"/>
      <c r="FNS8" s="36"/>
      <c r="FNT8" s="36"/>
      <c r="FNU8" s="36"/>
      <c r="FNV8" s="36"/>
      <c r="FNW8" s="36"/>
      <c r="FNX8" s="36"/>
      <c r="FNY8" s="36"/>
      <c r="FNZ8" s="36"/>
      <c r="FOA8" s="36"/>
      <c r="FOB8" s="36"/>
      <c r="FOC8" s="36"/>
      <c r="FOD8" s="36"/>
      <c r="FOE8" s="36"/>
      <c r="FOF8" s="36"/>
      <c r="FOG8" s="36"/>
      <c r="FOH8" s="36"/>
      <c r="FOI8" s="36"/>
      <c r="FOJ8" s="36"/>
      <c r="FOK8" s="36"/>
      <c r="FOL8" s="36"/>
      <c r="FOM8" s="36"/>
      <c r="FON8" s="36"/>
      <c r="FOO8" s="36"/>
      <c r="FOP8" s="36"/>
      <c r="FOQ8" s="36"/>
      <c r="FOR8" s="36"/>
      <c r="FOS8" s="36"/>
      <c r="FOT8" s="36"/>
      <c r="FOU8" s="36"/>
      <c r="FOV8" s="36"/>
      <c r="FOW8" s="36"/>
      <c r="FOX8" s="36"/>
      <c r="FOY8" s="36"/>
      <c r="FOZ8" s="36"/>
      <c r="FPA8" s="36"/>
      <c r="FPB8" s="36"/>
      <c r="FPC8" s="36"/>
      <c r="FPD8" s="36"/>
      <c r="FPE8" s="36"/>
      <c r="FPF8" s="36"/>
      <c r="FPG8" s="36"/>
      <c r="FPH8" s="36"/>
      <c r="FPI8" s="36"/>
      <c r="FPJ8" s="36"/>
      <c r="FPK8" s="36"/>
      <c r="FPL8" s="36"/>
      <c r="FPM8" s="36"/>
      <c r="FPN8" s="36"/>
      <c r="FPO8" s="36"/>
      <c r="FPP8" s="36"/>
      <c r="FPQ8" s="36"/>
      <c r="FPR8" s="36"/>
      <c r="FPS8" s="36"/>
      <c r="FPT8" s="36"/>
      <c r="FPU8" s="36"/>
      <c r="FPV8" s="36"/>
      <c r="FPW8" s="36"/>
      <c r="FPX8" s="36"/>
      <c r="FPY8" s="36"/>
      <c r="FPZ8" s="36"/>
      <c r="FQA8" s="36"/>
      <c r="FQB8" s="36"/>
      <c r="FQC8" s="36"/>
      <c r="FQD8" s="36"/>
      <c r="FQE8" s="36"/>
      <c r="FQF8" s="36"/>
      <c r="FQG8" s="36"/>
      <c r="FQH8" s="36"/>
      <c r="FQI8" s="36"/>
      <c r="FQJ8" s="36"/>
      <c r="FQK8" s="36"/>
      <c r="FQL8" s="36"/>
      <c r="FQM8" s="36"/>
      <c r="FQN8" s="36"/>
      <c r="FQO8" s="36"/>
      <c r="FQP8" s="36"/>
      <c r="FQQ8" s="36"/>
      <c r="FQR8" s="36"/>
      <c r="FQS8" s="36"/>
      <c r="FQT8" s="36"/>
      <c r="FQU8" s="36"/>
      <c r="FQV8" s="36"/>
      <c r="FQW8" s="36"/>
      <c r="FQX8" s="36"/>
      <c r="FQY8" s="36"/>
      <c r="FQZ8" s="36"/>
      <c r="FRA8" s="36"/>
      <c r="FRB8" s="36"/>
      <c r="FRC8" s="36"/>
      <c r="FRD8" s="36"/>
      <c r="FRE8" s="36"/>
      <c r="FRF8" s="36"/>
      <c r="FRG8" s="36"/>
      <c r="FRH8" s="36"/>
      <c r="FRI8" s="36"/>
      <c r="FRJ8" s="36"/>
      <c r="FRK8" s="36"/>
      <c r="FRL8" s="36"/>
      <c r="FRM8" s="36"/>
      <c r="FRN8" s="36"/>
      <c r="FRO8" s="36"/>
      <c r="FRP8" s="36"/>
      <c r="FRQ8" s="36"/>
      <c r="FRR8" s="36"/>
      <c r="FRS8" s="36"/>
      <c r="FRT8" s="36"/>
      <c r="FRU8" s="36"/>
      <c r="FRV8" s="36"/>
      <c r="FRW8" s="36"/>
      <c r="FRX8" s="36"/>
      <c r="FRY8" s="36"/>
      <c r="FRZ8" s="36"/>
      <c r="FSA8" s="36"/>
      <c r="FSB8" s="36"/>
      <c r="FSC8" s="36"/>
      <c r="FSD8" s="36"/>
      <c r="FSE8" s="36"/>
      <c r="FSF8" s="36"/>
      <c r="FSG8" s="36"/>
      <c r="FSH8" s="36"/>
      <c r="FSI8" s="36"/>
      <c r="FSJ8" s="36"/>
      <c r="FSK8" s="36"/>
      <c r="FSL8" s="36"/>
      <c r="FSM8" s="36"/>
      <c r="FSN8" s="36"/>
      <c r="FSO8" s="36"/>
      <c r="FSP8" s="36"/>
      <c r="FSQ8" s="36"/>
      <c r="FSR8" s="36"/>
      <c r="FSS8" s="36"/>
      <c r="FST8" s="36"/>
      <c r="FSU8" s="36"/>
      <c r="FSV8" s="36"/>
      <c r="FSW8" s="36"/>
      <c r="FSX8" s="36"/>
      <c r="FSY8" s="36"/>
      <c r="FSZ8" s="36"/>
      <c r="FTA8" s="36"/>
      <c r="FTB8" s="36"/>
      <c r="FTC8" s="36"/>
      <c r="FTD8" s="36"/>
      <c r="FTE8" s="36"/>
      <c r="FTF8" s="36"/>
      <c r="FTG8" s="36"/>
      <c r="FTH8" s="36"/>
      <c r="FTI8" s="36"/>
      <c r="FTJ8" s="36"/>
      <c r="FTK8" s="36"/>
      <c r="FTL8" s="36"/>
      <c r="FTM8" s="36"/>
      <c r="FTN8" s="36"/>
      <c r="FTO8" s="36"/>
      <c r="FTP8" s="36"/>
      <c r="FTQ8" s="36"/>
      <c r="FTR8" s="36"/>
      <c r="FTS8" s="36"/>
      <c r="FTT8" s="36"/>
      <c r="FTU8" s="36"/>
      <c r="FTV8" s="36"/>
      <c r="FTW8" s="36"/>
      <c r="FTX8" s="36"/>
      <c r="FTY8" s="36"/>
      <c r="FTZ8" s="36"/>
      <c r="FUA8" s="36"/>
      <c r="FUB8" s="36"/>
      <c r="FUC8" s="36"/>
      <c r="FUD8" s="36"/>
      <c r="FUE8" s="36"/>
      <c r="FUF8" s="36"/>
      <c r="FUG8" s="36"/>
      <c r="FUH8" s="36"/>
      <c r="FUI8" s="36"/>
      <c r="FUJ8" s="36"/>
      <c r="FUK8" s="36"/>
      <c r="FUL8" s="36"/>
      <c r="FUM8" s="36"/>
      <c r="FUN8" s="36"/>
      <c r="FUO8" s="36"/>
      <c r="FUP8" s="36"/>
      <c r="FUQ8" s="36"/>
      <c r="FUR8" s="36"/>
      <c r="FUS8" s="36"/>
      <c r="FUT8" s="36"/>
      <c r="FUU8" s="36"/>
      <c r="FUV8" s="36"/>
      <c r="FUW8" s="36"/>
      <c r="FUX8" s="36"/>
      <c r="FUY8" s="36"/>
      <c r="FUZ8" s="36"/>
      <c r="FVA8" s="36"/>
      <c r="FVB8" s="36"/>
      <c r="FVC8" s="36"/>
      <c r="FVD8" s="36"/>
      <c r="FVE8" s="36"/>
      <c r="FVF8" s="36"/>
      <c r="FVG8" s="36"/>
      <c r="FVH8" s="36"/>
      <c r="FVI8" s="36"/>
      <c r="FVJ8" s="36"/>
      <c r="FVK8" s="36"/>
      <c r="FVL8" s="36"/>
      <c r="FVM8" s="36"/>
      <c r="FVN8" s="36"/>
      <c r="FVO8" s="36"/>
      <c r="FVP8" s="36"/>
      <c r="FVQ8" s="36"/>
      <c r="FVR8" s="36"/>
      <c r="FVS8" s="36"/>
      <c r="FVT8" s="36"/>
      <c r="FVU8" s="36"/>
      <c r="FVV8" s="36"/>
      <c r="FVW8" s="36"/>
      <c r="FVX8" s="36"/>
      <c r="FVY8" s="36"/>
      <c r="FVZ8" s="36"/>
      <c r="FWA8" s="36"/>
      <c r="FWB8" s="36"/>
      <c r="FWC8" s="36"/>
      <c r="FWD8" s="36"/>
      <c r="FWE8" s="36"/>
      <c r="FWF8" s="36"/>
      <c r="FWG8" s="36"/>
      <c r="FWH8" s="36"/>
      <c r="FWI8" s="36"/>
      <c r="FWJ8" s="36"/>
      <c r="FWK8" s="36"/>
      <c r="FWL8" s="36"/>
      <c r="FWM8" s="36"/>
      <c r="FWN8" s="36"/>
      <c r="FWO8" s="36"/>
      <c r="FWP8" s="36"/>
      <c r="FWQ8" s="36"/>
      <c r="FWR8" s="36"/>
      <c r="FWS8" s="36"/>
      <c r="FWT8" s="36"/>
      <c r="FWU8" s="36"/>
      <c r="FWV8" s="36"/>
      <c r="FWW8" s="36"/>
      <c r="FWX8" s="36"/>
      <c r="FWY8" s="36"/>
      <c r="FWZ8" s="36"/>
      <c r="FXA8" s="36"/>
      <c r="FXB8" s="36"/>
      <c r="FXC8" s="36"/>
      <c r="FXD8" s="36"/>
      <c r="FXE8" s="36"/>
      <c r="FXF8" s="36"/>
      <c r="FXG8" s="36"/>
      <c r="FXH8" s="36"/>
      <c r="FXI8" s="36"/>
      <c r="FXJ8" s="36"/>
      <c r="FXK8" s="36"/>
      <c r="FXL8" s="36"/>
      <c r="FXM8" s="36"/>
      <c r="FXN8" s="36"/>
      <c r="FXO8" s="36"/>
      <c r="FXP8" s="36"/>
      <c r="FXQ8" s="36"/>
      <c r="FXR8" s="36"/>
      <c r="FXS8" s="36"/>
      <c r="FXT8" s="36"/>
      <c r="FXU8" s="36"/>
      <c r="FXV8" s="36"/>
      <c r="FXW8" s="36"/>
      <c r="FXX8" s="36"/>
      <c r="FXY8" s="36"/>
      <c r="FXZ8" s="36"/>
      <c r="FYA8" s="36"/>
      <c r="FYB8" s="36"/>
      <c r="FYC8" s="36"/>
      <c r="FYD8" s="36"/>
      <c r="FYE8" s="36"/>
      <c r="FYF8" s="36"/>
      <c r="FYG8" s="36"/>
      <c r="FYH8" s="36"/>
      <c r="FYI8" s="36"/>
      <c r="FYJ8" s="36"/>
      <c r="FYK8" s="36"/>
      <c r="FYL8" s="36"/>
      <c r="FYM8" s="36"/>
      <c r="FYN8" s="36"/>
      <c r="FYO8" s="36"/>
      <c r="FYP8" s="36"/>
      <c r="FYQ8" s="36"/>
      <c r="FYR8" s="36"/>
      <c r="FYS8" s="36"/>
      <c r="FYT8" s="36"/>
      <c r="FYU8" s="36"/>
      <c r="FYV8" s="36"/>
      <c r="FYW8" s="36"/>
      <c r="FYX8" s="36"/>
      <c r="FYY8" s="36"/>
      <c r="FYZ8" s="36"/>
      <c r="FZA8" s="36"/>
      <c r="FZB8" s="36"/>
      <c r="FZC8" s="36"/>
      <c r="FZD8" s="36"/>
      <c r="FZE8" s="36"/>
      <c r="FZF8" s="36"/>
      <c r="FZG8" s="36"/>
      <c r="FZH8" s="36"/>
      <c r="FZI8" s="36"/>
      <c r="FZJ8" s="36"/>
      <c r="FZK8" s="36"/>
      <c r="FZL8" s="36"/>
      <c r="FZM8" s="36"/>
      <c r="FZN8" s="36"/>
      <c r="FZO8" s="36"/>
      <c r="FZP8" s="36"/>
      <c r="FZQ8" s="36"/>
      <c r="FZR8" s="36"/>
      <c r="FZS8" s="36"/>
      <c r="FZT8" s="36"/>
      <c r="FZU8" s="36"/>
      <c r="FZV8" s="36"/>
      <c r="FZW8" s="36"/>
      <c r="FZX8" s="36"/>
      <c r="FZY8" s="36"/>
      <c r="FZZ8" s="36"/>
      <c r="GAA8" s="36"/>
      <c r="GAB8" s="36"/>
      <c r="GAC8" s="36"/>
      <c r="GAD8" s="36"/>
      <c r="GAE8" s="36"/>
      <c r="GAF8" s="36"/>
      <c r="GAG8" s="36"/>
      <c r="GAH8" s="36"/>
      <c r="GAI8" s="36"/>
      <c r="GAJ8" s="36"/>
      <c r="GAK8" s="36"/>
      <c r="GAL8" s="36"/>
      <c r="GAM8" s="36"/>
      <c r="GAN8" s="36"/>
      <c r="GAO8" s="36"/>
      <c r="GAP8" s="36"/>
      <c r="GAQ8" s="36"/>
      <c r="GAR8" s="36"/>
      <c r="GAS8" s="36"/>
      <c r="GAT8" s="36"/>
      <c r="GAU8" s="36"/>
      <c r="GAV8" s="36"/>
      <c r="GAW8" s="36"/>
      <c r="GAX8" s="36"/>
      <c r="GAY8" s="36"/>
      <c r="GAZ8" s="36"/>
      <c r="GBA8" s="36"/>
      <c r="GBB8" s="36"/>
      <c r="GBC8" s="36"/>
      <c r="GBD8" s="36"/>
      <c r="GBE8" s="36"/>
      <c r="GBF8" s="36"/>
      <c r="GBG8" s="36"/>
      <c r="GBH8" s="36"/>
      <c r="GBI8" s="36"/>
      <c r="GBJ8" s="36"/>
      <c r="GBK8" s="36"/>
      <c r="GBL8" s="36"/>
      <c r="GBM8" s="36"/>
      <c r="GBN8" s="36"/>
      <c r="GBO8" s="36"/>
      <c r="GBP8" s="36"/>
      <c r="GBQ8" s="36"/>
      <c r="GBR8" s="36"/>
      <c r="GBS8" s="36"/>
      <c r="GBT8" s="36"/>
      <c r="GBU8" s="36"/>
      <c r="GBV8" s="36"/>
      <c r="GBW8" s="36"/>
      <c r="GBX8" s="36"/>
      <c r="GBY8" s="36"/>
      <c r="GBZ8" s="36"/>
      <c r="GCA8" s="36"/>
      <c r="GCB8" s="36"/>
      <c r="GCC8" s="36"/>
      <c r="GCD8" s="36"/>
      <c r="GCE8" s="36"/>
      <c r="GCF8" s="36"/>
      <c r="GCG8" s="36"/>
      <c r="GCH8" s="36"/>
      <c r="GCI8" s="36"/>
      <c r="GCJ8" s="36"/>
      <c r="GCK8" s="36"/>
      <c r="GCL8" s="36"/>
      <c r="GCM8" s="36"/>
      <c r="GCN8" s="36"/>
      <c r="GCO8" s="36"/>
      <c r="GCP8" s="36"/>
      <c r="GCQ8" s="36"/>
      <c r="GCR8" s="36"/>
      <c r="GCS8" s="36"/>
      <c r="GCT8" s="36"/>
      <c r="GCU8" s="36"/>
      <c r="GCV8" s="36"/>
      <c r="GCW8" s="36"/>
      <c r="GCX8" s="36"/>
      <c r="GCY8" s="36"/>
      <c r="GCZ8" s="36"/>
      <c r="GDA8" s="36"/>
      <c r="GDB8" s="36"/>
      <c r="GDC8" s="36"/>
      <c r="GDD8" s="36"/>
      <c r="GDE8" s="36"/>
      <c r="GDF8" s="36"/>
      <c r="GDG8" s="36"/>
      <c r="GDH8" s="36"/>
      <c r="GDI8" s="36"/>
      <c r="GDJ8" s="36"/>
      <c r="GDK8" s="36"/>
      <c r="GDL8" s="36"/>
      <c r="GDM8" s="36"/>
      <c r="GDN8" s="36"/>
      <c r="GDO8" s="36"/>
      <c r="GDP8" s="36"/>
      <c r="GDQ8" s="36"/>
      <c r="GDR8" s="36"/>
      <c r="GDS8" s="36"/>
      <c r="GDT8" s="36"/>
      <c r="GDU8" s="36"/>
      <c r="GDV8" s="36"/>
      <c r="GDW8" s="36"/>
      <c r="GDX8" s="36"/>
      <c r="GDY8" s="36"/>
      <c r="GDZ8" s="36"/>
      <c r="GEA8" s="36"/>
      <c r="GEB8" s="36"/>
      <c r="GEC8" s="36"/>
      <c r="GED8" s="36"/>
      <c r="GEE8" s="36"/>
      <c r="GEF8" s="36"/>
      <c r="GEG8" s="36"/>
      <c r="GEH8" s="36"/>
      <c r="GEI8" s="36"/>
      <c r="GEJ8" s="36"/>
      <c r="GEK8" s="36"/>
      <c r="GEL8" s="36"/>
      <c r="GEM8" s="36"/>
      <c r="GEN8" s="36"/>
      <c r="GEO8" s="36"/>
      <c r="GEP8" s="36"/>
      <c r="GEQ8" s="36"/>
      <c r="GER8" s="36"/>
      <c r="GES8" s="36"/>
      <c r="GET8" s="36"/>
      <c r="GEU8" s="36"/>
      <c r="GEV8" s="36"/>
      <c r="GEW8" s="36"/>
      <c r="GEX8" s="36"/>
      <c r="GEY8" s="36"/>
      <c r="GEZ8" s="36"/>
      <c r="GFA8" s="36"/>
      <c r="GFB8" s="36"/>
      <c r="GFC8" s="36"/>
      <c r="GFD8" s="36"/>
      <c r="GFE8" s="36"/>
      <c r="GFF8" s="36"/>
      <c r="GFG8" s="36"/>
      <c r="GFH8" s="36"/>
      <c r="GFI8" s="36"/>
      <c r="GFJ8" s="36"/>
      <c r="GFK8" s="36"/>
      <c r="GFL8" s="36"/>
      <c r="GFM8" s="36"/>
      <c r="GFN8" s="36"/>
      <c r="GFO8" s="36"/>
      <c r="GFP8" s="36"/>
      <c r="GFQ8" s="36"/>
      <c r="GFR8" s="36"/>
      <c r="GFS8" s="36"/>
      <c r="GFT8" s="36"/>
      <c r="GFU8" s="36"/>
      <c r="GFV8" s="36"/>
      <c r="GFW8" s="36"/>
      <c r="GFX8" s="36"/>
      <c r="GFY8" s="36"/>
      <c r="GFZ8" s="36"/>
      <c r="GGA8" s="36"/>
      <c r="GGB8" s="36"/>
      <c r="GGC8" s="36"/>
      <c r="GGD8" s="36"/>
      <c r="GGE8" s="36"/>
      <c r="GGF8" s="36"/>
      <c r="GGG8" s="36"/>
      <c r="GGH8" s="36"/>
      <c r="GGI8" s="36"/>
      <c r="GGJ8" s="36"/>
      <c r="GGK8" s="36"/>
      <c r="GGL8" s="36"/>
      <c r="GGM8" s="36"/>
      <c r="GGN8" s="36"/>
      <c r="GGO8" s="36"/>
      <c r="GGP8" s="36"/>
      <c r="GGQ8" s="36"/>
      <c r="GGR8" s="36"/>
      <c r="GGS8" s="36"/>
      <c r="GGT8" s="36"/>
      <c r="GGU8" s="36"/>
      <c r="GGV8" s="36"/>
      <c r="GGW8" s="36"/>
      <c r="GGX8" s="36"/>
      <c r="GGY8" s="36"/>
      <c r="GGZ8" s="36"/>
      <c r="GHA8" s="36"/>
      <c r="GHB8" s="36"/>
      <c r="GHC8" s="36"/>
      <c r="GHD8" s="36"/>
      <c r="GHE8" s="36"/>
      <c r="GHF8" s="36"/>
      <c r="GHG8" s="36"/>
      <c r="GHH8" s="36"/>
      <c r="GHI8" s="36"/>
      <c r="GHJ8" s="36"/>
      <c r="GHK8" s="36"/>
      <c r="GHL8" s="36"/>
      <c r="GHM8" s="36"/>
      <c r="GHN8" s="36"/>
      <c r="GHO8" s="36"/>
      <c r="GHP8" s="36"/>
      <c r="GHQ8" s="36"/>
      <c r="GHR8" s="36"/>
      <c r="GHS8" s="36"/>
      <c r="GHT8" s="36"/>
      <c r="GHU8" s="36"/>
      <c r="GHV8" s="36"/>
      <c r="GHW8" s="36"/>
      <c r="GHX8" s="36"/>
      <c r="GHY8" s="36"/>
      <c r="GHZ8" s="36"/>
      <c r="GIA8" s="36"/>
      <c r="GIB8" s="36"/>
      <c r="GIC8" s="36"/>
      <c r="GID8" s="36"/>
      <c r="GIE8" s="36"/>
      <c r="GIF8" s="36"/>
      <c r="GIG8" s="36"/>
      <c r="GIH8" s="36"/>
      <c r="GII8" s="36"/>
      <c r="GIJ8" s="36"/>
      <c r="GIK8" s="36"/>
      <c r="GIL8" s="36"/>
      <c r="GIM8" s="36"/>
      <c r="GIN8" s="36"/>
      <c r="GIO8" s="36"/>
      <c r="GIP8" s="36"/>
      <c r="GIQ8" s="36"/>
      <c r="GIR8" s="36"/>
      <c r="GIS8" s="36"/>
      <c r="GIT8" s="36"/>
      <c r="GIU8" s="36"/>
      <c r="GIV8" s="36"/>
      <c r="GIW8" s="36"/>
      <c r="GIX8" s="36"/>
      <c r="GIY8" s="36"/>
      <c r="GIZ8" s="36"/>
      <c r="GJA8" s="36"/>
      <c r="GJB8" s="36"/>
      <c r="GJC8" s="36"/>
      <c r="GJD8" s="36"/>
      <c r="GJE8" s="36"/>
      <c r="GJF8" s="36"/>
      <c r="GJG8" s="36"/>
      <c r="GJH8" s="36"/>
      <c r="GJI8" s="36"/>
      <c r="GJJ8" s="36"/>
      <c r="GJK8" s="36"/>
      <c r="GJL8" s="36"/>
      <c r="GJM8" s="36"/>
      <c r="GJN8" s="36"/>
      <c r="GJO8" s="36"/>
      <c r="GJP8" s="36"/>
      <c r="GJQ8" s="36"/>
      <c r="GJR8" s="36"/>
      <c r="GJS8" s="36"/>
      <c r="GJT8" s="36"/>
      <c r="GJU8" s="36"/>
      <c r="GJV8" s="36"/>
      <c r="GJW8" s="36"/>
      <c r="GJX8" s="36"/>
      <c r="GJY8" s="36"/>
      <c r="GJZ8" s="36"/>
      <c r="GKA8" s="36"/>
      <c r="GKB8" s="36"/>
      <c r="GKC8" s="36"/>
      <c r="GKD8" s="36"/>
      <c r="GKE8" s="36"/>
      <c r="GKF8" s="36"/>
      <c r="GKG8" s="36"/>
      <c r="GKH8" s="36"/>
      <c r="GKI8" s="36"/>
      <c r="GKJ8" s="36"/>
      <c r="GKK8" s="36"/>
      <c r="GKL8" s="36"/>
      <c r="GKM8" s="36"/>
      <c r="GKN8" s="36"/>
      <c r="GKO8" s="36"/>
      <c r="GKP8" s="36"/>
      <c r="GKQ8" s="36"/>
      <c r="GKR8" s="36"/>
      <c r="GKS8" s="36"/>
      <c r="GKT8" s="36"/>
      <c r="GKU8" s="36"/>
      <c r="GKV8" s="36"/>
      <c r="GKW8" s="36"/>
      <c r="GKX8" s="36"/>
      <c r="GKY8" s="36"/>
      <c r="GKZ8" s="36"/>
      <c r="GLA8" s="36"/>
      <c r="GLB8" s="36"/>
      <c r="GLC8" s="36"/>
      <c r="GLD8" s="36"/>
      <c r="GLE8" s="36"/>
      <c r="GLF8" s="36"/>
      <c r="GLG8" s="36"/>
      <c r="GLH8" s="36"/>
      <c r="GLI8" s="36"/>
      <c r="GLJ8" s="36"/>
      <c r="GLK8" s="36"/>
      <c r="GLL8" s="36"/>
      <c r="GLM8" s="36"/>
      <c r="GLN8" s="36"/>
      <c r="GLO8" s="36"/>
      <c r="GLP8" s="36"/>
      <c r="GLQ8" s="36"/>
      <c r="GLR8" s="36"/>
      <c r="GLS8" s="36"/>
      <c r="GLT8" s="36"/>
      <c r="GLU8" s="36"/>
      <c r="GLV8" s="36"/>
      <c r="GLW8" s="36"/>
      <c r="GLX8" s="36"/>
      <c r="GLY8" s="36"/>
      <c r="GLZ8" s="36"/>
      <c r="GMA8" s="36"/>
      <c r="GMB8" s="36"/>
      <c r="GMC8" s="36"/>
      <c r="GMD8" s="36"/>
      <c r="GME8" s="36"/>
      <c r="GMF8" s="36"/>
      <c r="GMG8" s="36"/>
      <c r="GMH8" s="36"/>
      <c r="GMI8" s="36"/>
      <c r="GMJ8" s="36"/>
      <c r="GMK8" s="36"/>
      <c r="GML8" s="36"/>
      <c r="GMM8" s="36"/>
      <c r="GMN8" s="36"/>
      <c r="GMO8" s="36"/>
      <c r="GMP8" s="36"/>
      <c r="GMQ8" s="36"/>
      <c r="GMR8" s="36"/>
      <c r="GMS8" s="36"/>
      <c r="GMT8" s="36"/>
      <c r="GMU8" s="36"/>
      <c r="GMV8" s="36"/>
      <c r="GMW8" s="36"/>
      <c r="GMX8" s="36"/>
      <c r="GMY8" s="36"/>
      <c r="GMZ8" s="36"/>
      <c r="GNA8" s="36"/>
      <c r="GNB8" s="36"/>
      <c r="GNC8" s="36"/>
      <c r="GND8" s="36"/>
      <c r="GNE8" s="36"/>
      <c r="GNF8" s="36"/>
      <c r="GNG8" s="36"/>
      <c r="GNH8" s="36"/>
      <c r="GNI8" s="36"/>
      <c r="GNJ8" s="36"/>
      <c r="GNK8" s="36"/>
      <c r="GNL8" s="36"/>
      <c r="GNM8" s="36"/>
      <c r="GNN8" s="36"/>
      <c r="GNO8" s="36"/>
      <c r="GNP8" s="36"/>
      <c r="GNQ8" s="36"/>
      <c r="GNR8" s="36"/>
      <c r="GNS8" s="36"/>
      <c r="GNT8" s="36"/>
      <c r="GNU8" s="36"/>
      <c r="GNV8" s="36"/>
      <c r="GNW8" s="36"/>
      <c r="GNX8" s="36"/>
      <c r="GNY8" s="36"/>
      <c r="GNZ8" s="36"/>
      <c r="GOA8" s="36"/>
      <c r="GOB8" s="36"/>
      <c r="GOC8" s="36"/>
      <c r="GOD8" s="36"/>
      <c r="GOE8" s="36"/>
      <c r="GOF8" s="36"/>
      <c r="GOG8" s="36"/>
      <c r="GOH8" s="36"/>
      <c r="GOI8" s="36"/>
      <c r="GOJ8" s="36"/>
      <c r="GOK8" s="36"/>
      <c r="GOL8" s="36"/>
      <c r="GOM8" s="36"/>
      <c r="GON8" s="36"/>
      <c r="GOO8" s="36"/>
      <c r="GOP8" s="36"/>
      <c r="GOQ8" s="36"/>
      <c r="GOR8" s="36"/>
      <c r="GOS8" s="36"/>
      <c r="GOT8" s="36"/>
      <c r="GOU8" s="36"/>
      <c r="GOV8" s="36"/>
      <c r="GOW8" s="36"/>
      <c r="GOX8" s="36"/>
      <c r="GOY8" s="36"/>
      <c r="GOZ8" s="36"/>
      <c r="GPA8" s="36"/>
      <c r="GPB8" s="36"/>
      <c r="GPC8" s="36"/>
      <c r="GPD8" s="36"/>
      <c r="GPE8" s="36"/>
      <c r="GPF8" s="36"/>
      <c r="GPG8" s="36"/>
      <c r="GPH8" s="36"/>
      <c r="GPI8" s="36"/>
      <c r="GPJ8" s="36"/>
      <c r="GPK8" s="36"/>
      <c r="GPL8" s="36"/>
      <c r="GPM8" s="36"/>
      <c r="GPN8" s="36"/>
      <c r="GPO8" s="36"/>
      <c r="GPP8" s="36"/>
      <c r="GPQ8" s="36"/>
      <c r="GPR8" s="36"/>
      <c r="GPS8" s="36"/>
      <c r="GPT8" s="36"/>
      <c r="GPU8" s="36"/>
      <c r="GPV8" s="36"/>
      <c r="GPW8" s="36"/>
      <c r="GPX8" s="36"/>
      <c r="GPY8" s="36"/>
      <c r="GPZ8" s="36"/>
      <c r="GQA8" s="36"/>
      <c r="GQB8" s="36"/>
      <c r="GQC8" s="36"/>
      <c r="GQD8" s="36"/>
      <c r="GQE8" s="36"/>
      <c r="GQF8" s="36"/>
      <c r="GQG8" s="36"/>
      <c r="GQH8" s="36"/>
      <c r="GQI8" s="36"/>
      <c r="GQJ8" s="36"/>
      <c r="GQK8" s="36"/>
      <c r="GQL8" s="36"/>
      <c r="GQM8" s="36"/>
      <c r="GQN8" s="36"/>
      <c r="GQO8" s="36"/>
      <c r="GQP8" s="36"/>
      <c r="GQQ8" s="36"/>
      <c r="GQR8" s="36"/>
      <c r="GQS8" s="36"/>
      <c r="GQT8" s="36"/>
      <c r="GQU8" s="36"/>
      <c r="GQV8" s="36"/>
      <c r="GQW8" s="36"/>
      <c r="GQX8" s="36"/>
      <c r="GQY8" s="36"/>
      <c r="GQZ8" s="36"/>
      <c r="GRA8" s="36"/>
      <c r="GRB8" s="36"/>
      <c r="GRC8" s="36"/>
      <c r="GRD8" s="36"/>
      <c r="GRE8" s="36"/>
      <c r="GRF8" s="36"/>
      <c r="GRG8" s="36"/>
      <c r="GRH8" s="36"/>
      <c r="GRI8" s="36"/>
      <c r="GRJ8" s="36"/>
      <c r="GRK8" s="36"/>
      <c r="GRL8" s="36"/>
      <c r="GRM8" s="36"/>
      <c r="GRN8" s="36"/>
      <c r="GRO8" s="36"/>
      <c r="GRP8" s="36"/>
      <c r="GRQ8" s="36"/>
      <c r="GRR8" s="36"/>
      <c r="GRS8" s="36"/>
      <c r="GRT8" s="36"/>
      <c r="GRU8" s="36"/>
      <c r="GRV8" s="36"/>
      <c r="GRW8" s="36"/>
      <c r="GRX8" s="36"/>
      <c r="GRY8" s="36"/>
      <c r="GRZ8" s="36"/>
      <c r="GSA8" s="36"/>
      <c r="GSB8" s="36"/>
      <c r="GSC8" s="36"/>
      <c r="GSD8" s="36"/>
      <c r="GSE8" s="36"/>
      <c r="GSF8" s="36"/>
      <c r="GSG8" s="36"/>
      <c r="GSH8" s="36"/>
      <c r="GSI8" s="36"/>
      <c r="GSJ8" s="36"/>
      <c r="GSK8" s="36"/>
      <c r="GSL8" s="36"/>
      <c r="GSM8" s="36"/>
      <c r="GSN8" s="36"/>
      <c r="GSO8" s="36"/>
      <c r="GSP8" s="36"/>
      <c r="GSQ8" s="36"/>
      <c r="GSR8" s="36"/>
      <c r="GSS8" s="36"/>
      <c r="GST8" s="36"/>
      <c r="GSU8" s="36"/>
      <c r="GSV8" s="36"/>
      <c r="GSW8" s="36"/>
      <c r="GSX8" s="36"/>
      <c r="GSY8" s="36"/>
      <c r="GSZ8" s="36"/>
      <c r="GTA8" s="36"/>
      <c r="GTB8" s="36"/>
      <c r="GTC8" s="36"/>
      <c r="GTD8" s="36"/>
      <c r="GTE8" s="36"/>
      <c r="GTF8" s="36"/>
      <c r="GTG8" s="36"/>
      <c r="GTH8" s="36"/>
      <c r="GTI8" s="36"/>
      <c r="GTJ8" s="36"/>
      <c r="GTK8" s="36"/>
      <c r="GTL8" s="36"/>
      <c r="GTM8" s="36"/>
      <c r="GTN8" s="36"/>
      <c r="GTO8" s="36"/>
      <c r="GTP8" s="36"/>
      <c r="GTQ8" s="36"/>
      <c r="GTR8" s="36"/>
      <c r="GTS8" s="36"/>
      <c r="GTT8" s="36"/>
      <c r="GTU8" s="36"/>
      <c r="GTV8" s="36"/>
      <c r="GTW8" s="36"/>
      <c r="GTX8" s="36"/>
      <c r="GTY8" s="36"/>
      <c r="GTZ8" s="36"/>
      <c r="GUA8" s="36"/>
      <c r="GUB8" s="36"/>
      <c r="GUC8" s="36"/>
      <c r="GUD8" s="36"/>
      <c r="GUE8" s="36"/>
      <c r="GUF8" s="36"/>
      <c r="GUG8" s="36"/>
      <c r="GUH8" s="36"/>
      <c r="GUI8" s="36"/>
      <c r="GUJ8" s="36"/>
      <c r="GUK8" s="36"/>
      <c r="GUL8" s="36"/>
      <c r="GUM8" s="36"/>
      <c r="GUN8" s="36"/>
      <c r="GUO8" s="36"/>
      <c r="GUP8" s="36"/>
      <c r="GUQ8" s="36"/>
      <c r="GUR8" s="36"/>
      <c r="GUS8" s="36"/>
      <c r="GUT8" s="36"/>
      <c r="GUU8" s="36"/>
      <c r="GUV8" s="36"/>
      <c r="GUW8" s="36"/>
      <c r="GUX8" s="36"/>
      <c r="GUY8" s="36"/>
      <c r="GUZ8" s="36"/>
      <c r="GVA8" s="36"/>
      <c r="GVB8" s="36"/>
      <c r="GVC8" s="36"/>
      <c r="GVD8" s="36"/>
      <c r="GVE8" s="36"/>
      <c r="GVF8" s="36"/>
      <c r="GVG8" s="36"/>
      <c r="GVH8" s="36"/>
      <c r="GVI8" s="36"/>
      <c r="GVJ8" s="36"/>
      <c r="GVK8" s="36"/>
      <c r="GVL8" s="36"/>
      <c r="GVM8" s="36"/>
      <c r="GVN8" s="36"/>
      <c r="GVO8" s="36"/>
      <c r="GVP8" s="36"/>
      <c r="GVQ8" s="36"/>
      <c r="GVR8" s="36"/>
      <c r="GVS8" s="36"/>
      <c r="GVT8" s="36"/>
      <c r="GVU8" s="36"/>
      <c r="GVV8" s="36"/>
      <c r="GVW8" s="36"/>
      <c r="GVX8" s="36"/>
      <c r="GVY8" s="36"/>
      <c r="GVZ8" s="36"/>
      <c r="GWA8" s="36"/>
      <c r="GWB8" s="36"/>
      <c r="GWC8" s="36"/>
      <c r="GWD8" s="36"/>
      <c r="GWE8" s="36"/>
      <c r="GWF8" s="36"/>
      <c r="GWG8" s="36"/>
      <c r="GWH8" s="36"/>
      <c r="GWI8" s="36"/>
      <c r="GWJ8" s="36"/>
      <c r="GWK8" s="36"/>
      <c r="GWL8" s="36"/>
      <c r="GWM8" s="36"/>
      <c r="GWN8" s="36"/>
      <c r="GWO8" s="36"/>
      <c r="GWP8" s="36"/>
      <c r="GWQ8" s="36"/>
      <c r="GWR8" s="36"/>
      <c r="GWS8" s="36"/>
      <c r="GWT8" s="36"/>
      <c r="GWU8" s="36"/>
      <c r="GWV8" s="36"/>
      <c r="GWW8" s="36"/>
      <c r="GWX8" s="36"/>
      <c r="GWY8" s="36"/>
      <c r="GWZ8" s="36"/>
      <c r="GXA8" s="36"/>
      <c r="GXB8" s="36"/>
      <c r="GXC8" s="36"/>
      <c r="GXD8" s="36"/>
      <c r="GXE8" s="36"/>
      <c r="GXF8" s="36"/>
      <c r="GXG8" s="36"/>
      <c r="GXH8" s="36"/>
      <c r="GXI8" s="36"/>
      <c r="GXJ8" s="36"/>
      <c r="GXK8" s="36"/>
      <c r="GXL8" s="36"/>
      <c r="GXM8" s="36"/>
      <c r="GXN8" s="36"/>
      <c r="GXO8" s="36"/>
      <c r="GXP8" s="36"/>
      <c r="GXQ8" s="36"/>
      <c r="GXR8" s="36"/>
      <c r="GXS8" s="36"/>
      <c r="GXT8" s="36"/>
      <c r="GXU8" s="36"/>
      <c r="GXV8" s="36"/>
      <c r="GXW8" s="36"/>
      <c r="GXX8" s="36"/>
      <c r="GXY8" s="36"/>
      <c r="GXZ8" s="36"/>
      <c r="GYA8" s="36"/>
      <c r="GYB8" s="36"/>
      <c r="GYC8" s="36"/>
      <c r="GYD8" s="36"/>
      <c r="GYE8" s="36"/>
      <c r="GYF8" s="36"/>
      <c r="GYG8" s="36"/>
      <c r="GYH8" s="36"/>
      <c r="GYI8" s="36"/>
      <c r="GYJ8" s="36"/>
      <c r="GYK8" s="36"/>
      <c r="GYL8" s="36"/>
      <c r="GYM8" s="36"/>
      <c r="GYN8" s="36"/>
      <c r="GYO8" s="36"/>
      <c r="GYP8" s="36"/>
      <c r="GYQ8" s="36"/>
      <c r="GYR8" s="36"/>
      <c r="GYS8" s="36"/>
      <c r="GYT8" s="36"/>
      <c r="GYU8" s="36"/>
      <c r="GYV8" s="36"/>
      <c r="GYW8" s="36"/>
      <c r="GYX8" s="36"/>
      <c r="GYY8" s="36"/>
      <c r="GYZ8" s="36"/>
      <c r="GZA8" s="36"/>
      <c r="GZB8" s="36"/>
      <c r="GZC8" s="36"/>
      <c r="GZD8" s="36"/>
      <c r="GZE8" s="36"/>
      <c r="GZF8" s="36"/>
      <c r="GZG8" s="36"/>
      <c r="GZH8" s="36"/>
      <c r="GZI8" s="36"/>
      <c r="GZJ8" s="36"/>
      <c r="GZK8" s="36"/>
      <c r="GZL8" s="36"/>
      <c r="GZM8" s="36"/>
      <c r="GZN8" s="36"/>
      <c r="GZO8" s="36"/>
      <c r="GZP8" s="36"/>
      <c r="GZQ8" s="36"/>
      <c r="GZR8" s="36"/>
      <c r="GZS8" s="36"/>
      <c r="GZT8" s="36"/>
      <c r="GZU8" s="36"/>
      <c r="GZV8" s="36"/>
      <c r="GZW8" s="36"/>
      <c r="GZX8" s="36"/>
      <c r="GZY8" s="36"/>
      <c r="GZZ8" s="36"/>
      <c r="HAA8" s="36"/>
      <c r="HAB8" s="36"/>
      <c r="HAC8" s="36"/>
      <c r="HAD8" s="36"/>
      <c r="HAE8" s="36"/>
      <c r="HAF8" s="36"/>
      <c r="HAG8" s="36"/>
      <c r="HAH8" s="36"/>
      <c r="HAI8" s="36"/>
      <c r="HAJ8" s="36"/>
      <c r="HAK8" s="36"/>
      <c r="HAL8" s="36"/>
      <c r="HAM8" s="36"/>
      <c r="HAN8" s="36"/>
      <c r="HAO8" s="36"/>
      <c r="HAP8" s="36"/>
      <c r="HAQ8" s="36"/>
      <c r="HAR8" s="36"/>
      <c r="HAS8" s="36"/>
      <c r="HAT8" s="36"/>
      <c r="HAU8" s="36"/>
      <c r="HAV8" s="36"/>
      <c r="HAW8" s="36"/>
      <c r="HAX8" s="36"/>
      <c r="HAY8" s="36"/>
      <c r="HAZ8" s="36"/>
      <c r="HBA8" s="36"/>
      <c r="HBB8" s="36"/>
      <c r="HBC8" s="36"/>
      <c r="HBD8" s="36"/>
      <c r="HBE8" s="36"/>
      <c r="HBF8" s="36"/>
      <c r="HBG8" s="36"/>
      <c r="HBH8" s="36"/>
      <c r="HBI8" s="36"/>
      <c r="HBJ8" s="36"/>
      <c r="HBK8" s="36"/>
      <c r="HBL8" s="36"/>
      <c r="HBM8" s="36"/>
      <c r="HBN8" s="36"/>
      <c r="HBO8" s="36"/>
      <c r="HBP8" s="36"/>
      <c r="HBQ8" s="36"/>
      <c r="HBR8" s="36"/>
      <c r="HBS8" s="36"/>
      <c r="HBT8" s="36"/>
      <c r="HBU8" s="36"/>
      <c r="HBV8" s="36"/>
      <c r="HBW8" s="36"/>
      <c r="HBX8" s="36"/>
      <c r="HBY8" s="36"/>
      <c r="HBZ8" s="36"/>
      <c r="HCA8" s="36"/>
      <c r="HCB8" s="36"/>
      <c r="HCC8" s="36"/>
      <c r="HCD8" s="36"/>
      <c r="HCE8" s="36"/>
      <c r="HCF8" s="36"/>
      <c r="HCG8" s="36"/>
      <c r="HCH8" s="36"/>
      <c r="HCI8" s="36"/>
      <c r="HCJ8" s="36"/>
      <c r="HCK8" s="36"/>
      <c r="HCL8" s="36"/>
      <c r="HCM8" s="36"/>
      <c r="HCN8" s="36"/>
      <c r="HCO8" s="36"/>
      <c r="HCP8" s="36"/>
      <c r="HCQ8" s="36"/>
      <c r="HCR8" s="36"/>
      <c r="HCS8" s="36"/>
      <c r="HCT8" s="36"/>
      <c r="HCU8" s="36"/>
      <c r="HCV8" s="36"/>
      <c r="HCW8" s="36"/>
      <c r="HCX8" s="36"/>
      <c r="HCY8" s="36"/>
      <c r="HCZ8" s="36"/>
      <c r="HDA8" s="36"/>
      <c r="HDB8" s="36"/>
      <c r="HDC8" s="36"/>
      <c r="HDD8" s="36"/>
      <c r="HDE8" s="36"/>
      <c r="HDF8" s="36"/>
      <c r="HDG8" s="36"/>
      <c r="HDH8" s="36"/>
      <c r="HDI8" s="36"/>
      <c r="HDJ8" s="36"/>
      <c r="HDK8" s="36"/>
      <c r="HDL8" s="36"/>
      <c r="HDM8" s="36"/>
      <c r="HDN8" s="36"/>
      <c r="HDO8" s="36"/>
      <c r="HDP8" s="36"/>
      <c r="HDQ8" s="36"/>
      <c r="HDR8" s="36"/>
      <c r="HDS8" s="36"/>
      <c r="HDT8" s="36"/>
      <c r="HDU8" s="36"/>
      <c r="HDV8" s="36"/>
      <c r="HDW8" s="36"/>
      <c r="HDX8" s="36"/>
      <c r="HDY8" s="36"/>
      <c r="HDZ8" s="36"/>
      <c r="HEA8" s="36"/>
      <c r="HEB8" s="36"/>
      <c r="HEC8" s="36"/>
      <c r="HED8" s="36"/>
      <c r="HEE8" s="36"/>
      <c r="HEF8" s="36"/>
      <c r="HEG8" s="36"/>
      <c r="HEH8" s="36"/>
      <c r="HEI8" s="36"/>
      <c r="HEJ8" s="36"/>
      <c r="HEK8" s="36"/>
      <c r="HEL8" s="36"/>
      <c r="HEM8" s="36"/>
      <c r="HEN8" s="36"/>
      <c r="HEO8" s="36"/>
      <c r="HEP8" s="36"/>
      <c r="HEQ8" s="36"/>
      <c r="HER8" s="36"/>
      <c r="HES8" s="36"/>
      <c r="HET8" s="36"/>
      <c r="HEU8" s="36"/>
      <c r="HEV8" s="36"/>
      <c r="HEW8" s="36"/>
      <c r="HEX8" s="36"/>
      <c r="HEY8" s="36"/>
      <c r="HEZ8" s="36"/>
      <c r="HFA8" s="36"/>
      <c r="HFB8" s="36"/>
      <c r="HFC8" s="36"/>
      <c r="HFD8" s="36"/>
      <c r="HFE8" s="36"/>
      <c r="HFF8" s="36"/>
      <c r="HFG8" s="36"/>
      <c r="HFH8" s="36"/>
      <c r="HFI8" s="36"/>
      <c r="HFJ8" s="36"/>
      <c r="HFK8" s="36"/>
      <c r="HFL8" s="36"/>
      <c r="HFM8" s="36"/>
      <c r="HFN8" s="36"/>
      <c r="HFO8" s="36"/>
      <c r="HFP8" s="36"/>
      <c r="HFQ8" s="36"/>
      <c r="HFR8" s="36"/>
      <c r="HFS8" s="36"/>
      <c r="HFT8" s="36"/>
      <c r="HFU8" s="36"/>
      <c r="HFV8" s="36"/>
      <c r="HFW8" s="36"/>
      <c r="HFX8" s="36"/>
      <c r="HFY8" s="36"/>
      <c r="HFZ8" s="36"/>
      <c r="HGA8" s="36"/>
      <c r="HGB8" s="36"/>
      <c r="HGC8" s="36"/>
      <c r="HGD8" s="36"/>
      <c r="HGE8" s="36"/>
      <c r="HGF8" s="36"/>
      <c r="HGG8" s="36"/>
      <c r="HGH8" s="36"/>
      <c r="HGI8" s="36"/>
      <c r="HGJ8" s="36"/>
      <c r="HGK8" s="36"/>
      <c r="HGL8" s="36"/>
      <c r="HGM8" s="36"/>
      <c r="HGN8" s="36"/>
      <c r="HGO8" s="36"/>
      <c r="HGP8" s="36"/>
      <c r="HGQ8" s="36"/>
      <c r="HGR8" s="36"/>
      <c r="HGS8" s="36"/>
      <c r="HGT8" s="36"/>
      <c r="HGU8" s="36"/>
      <c r="HGV8" s="36"/>
      <c r="HGW8" s="36"/>
      <c r="HGX8" s="36"/>
      <c r="HGY8" s="36"/>
      <c r="HGZ8" s="36"/>
      <c r="HHA8" s="36"/>
      <c r="HHB8" s="36"/>
      <c r="HHC8" s="36"/>
      <c r="HHD8" s="36"/>
      <c r="HHE8" s="36"/>
      <c r="HHF8" s="36"/>
      <c r="HHG8" s="36"/>
      <c r="HHH8" s="36"/>
      <c r="HHI8" s="36"/>
      <c r="HHJ8" s="36"/>
      <c r="HHK8" s="36"/>
      <c r="HHL8" s="36"/>
      <c r="HHM8" s="36"/>
      <c r="HHN8" s="36"/>
      <c r="HHO8" s="36"/>
      <c r="HHP8" s="36"/>
      <c r="HHQ8" s="36"/>
      <c r="HHR8" s="36"/>
      <c r="HHS8" s="36"/>
      <c r="HHT8" s="36"/>
      <c r="HHU8" s="36"/>
      <c r="HHV8" s="36"/>
      <c r="HHW8" s="36"/>
      <c r="HHX8" s="36"/>
      <c r="HHY8" s="36"/>
      <c r="HHZ8" s="36"/>
      <c r="HIA8" s="36"/>
      <c r="HIB8" s="36"/>
      <c r="HIC8" s="36"/>
      <c r="HID8" s="36"/>
      <c r="HIE8" s="36"/>
      <c r="HIF8" s="36"/>
      <c r="HIG8" s="36"/>
      <c r="HIH8" s="36"/>
      <c r="HII8" s="36"/>
      <c r="HIJ8" s="36"/>
      <c r="HIK8" s="36"/>
      <c r="HIL8" s="36"/>
      <c r="HIM8" s="36"/>
      <c r="HIN8" s="36"/>
      <c r="HIO8" s="36"/>
      <c r="HIP8" s="36"/>
      <c r="HIQ8" s="36"/>
      <c r="HIR8" s="36"/>
      <c r="HIS8" s="36"/>
      <c r="HIT8" s="36"/>
      <c r="HIU8" s="36"/>
      <c r="HIV8" s="36"/>
      <c r="HIW8" s="36"/>
      <c r="HIX8" s="36"/>
      <c r="HIY8" s="36"/>
      <c r="HIZ8" s="36"/>
      <c r="HJA8" s="36"/>
      <c r="HJB8" s="36"/>
      <c r="HJC8" s="36"/>
      <c r="HJD8" s="36"/>
      <c r="HJE8" s="36"/>
      <c r="HJF8" s="36"/>
      <c r="HJG8" s="36"/>
      <c r="HJH8" s="36"/>
      <c r="HJI8" s="36"/>
      <c r="HJJ8" s="36"/>
      <c r="HJK8" s="36"/>
      <c r="HJL8" s="36"/>
      <c r="HJM8" s="36"/>
      <c r="HJN8" s="36"/>
      <c r="HJO8" s="36"/>
      <c r="HJP8" s="36"/>
      <c r="HJQ8" s="36"/>
      <c r="HJR8" s="36"/>
      <c r="HJS8" s="36"/>
      <c r="HJT8" s="36"/>
      <c r="HJU8" s="36"/>
      <c r="HJV8" s="36"/>
      <c r="HJW8" s="36"/>
      <c r="HJX8" s="36"/>
      <c r="HJY8" s="36"/>
      <c r="HJZ8" s="36"/>
      <c r="HKA8" s="36"/>
      <c r="HKB8" s="36"/>
      <c r="HKC8" s="36"/>
      <c r="HKD8" s="36"/>
      <c r="HKE8" s="36"/>
      <c r="HKF8" s="36"/>
      <c r="HKG8" s="36"/>
      <c r="HKH8" s="36"/>
      <c r="HKI8" s="36"/>
      <c r="HKJ8" s="36"/>
      <c r="HKK8" s="36"/>
      <c r="HKL8" s="36"/>
      <c r="HKM8" s="36"/>
      <c r="HKN8" s="36"/>
      <c r="HKO8" s="36"/>
      <c r="HKP8" s="36"/>
      <c r="HKQ8" s="36"/>
      <c r="HKR8" s="36"/>
      <c r="HKS8" s="36"/>
      <c r="HKT8" s="36"/>
      <c r="HKU8" s="36"/>
      <c r="HKV8" s="36"/>
      <c r="HKW8" s="36"/>
      <c r="HKX8" s="36"/>
      <c r="HKY8" s="36"/>
      <c r="HKZ8" s="36"/>
      <c r="HLA8" s="36"/>
      <c r="HLB8" s="36"/>
      <c r="HLC8" s="36"/>
      <c r="HLD8" s="36"/>
      <c r="HLE8" s="36"/>
      <c r="HLF8" s="36"/>
      <c r="HLG8" s="36"/>
      <c r="HLH8" s="36"/>
      <c r="HLI8" s="36"/>
      <c r="HLJ8" s="36"/>
      <c r="HLK8" s="36"/>
      <c r="HLL8" s="36"/>
      <c r="HLM8" s="36"/>
      <c r="HLN8" s="36"/>
      <c r="HLO8" s="36"/>
      <c r="HLP8" s="36"/>
      <c r="HLQ8" s="36"/>
      <c r="HLR8" s="36"/>
      <c r="HLS8" s="36"/>
      <c r="HLT8" s="36"/>
      <c r="HLU8" s="36"/>
      <c r="HLV8" s="36"/>
      <c r="HLW8" s="36"/>
      <c r="HLX8" s="36"/>
      <c r="HLY8" s="36"/>
      <c r="HLZ8" s="36"/>
      <c r="HMA8" s="36"/>
      <c r="HMB8" s="36"/>
      <c r="HMC8" s="36"/>
      <c r="HMD8" s="36"/>
      <c r="HME8" s="36"/>
      <c r="HMF8" s="36"/>
      <c r="HMG8" s="36"/>
      <c r="HMH8" s="36"/>
      <c r="HMI8" s="36"/>
      <c r="HMJ8" s="36"/>
      <c r="HMK8" s="36"/>
      <c r="HML8" s="36"/>
      <c r="HMM8" s="36"/>
      <c r="HMN8" s="36"/>
      <c r="HMO8" s="36"/>
      <c r="HMP8" s="36"/>
      <c r="HMQ8" s="36"/>
      <c r="HMR8" s="36"/>
      <c r="HMS8" s="36"/>
      <c r="HMT8" s="36"/>
      <c r="HMU8" s="36"/>
      <c r="HMV8" s="36"/>
      <c r="HMW8" s="36"/>
      <c r="HMX8" s="36"/>
      <c r="HMY8" s="36"/>
      <c r="HMZ8" s="36"/>
      <c r="HNA8" s="36"/>
      <c r="HNB8" s="36"/>
      <c r="HNC8" s="36"/>
      <c r="HND8" s="36"/>
      <c r="HNE8" s="36"/>
      <c r="HNF8" s="36"/>
      <c r="HNG8" s="36"/>
      <c r="HNH8" s="36"/>
      <c r="HNI8" s="36"/>
      <c r="HNJ8" s="36"/>
      <c r="HNK8" s="36"/>
      <c r="HNL8" s="36"/>
      <c r="HNM8" s="36"/>
      <c r="HNN8" s="36"/>
      <c r="HNO8" s="36"/>
      <c r="HNP8" s="36"/>
      <c r="HNQ8" s="36"/>
      <c r="HNR8" s="36"/>
      <c r="HNS8" s="36"/>
      <c r="HNT8" s="36"/>
      <c r="HNU8" s="36"/>
      <c r="HNV8" s="36"/>
      <c r="HNW8" s="36"/>
      <c r="HNX8" s="36"/>
      <c r="HNY8" s="36"/>
      <c r="HNZ8" s="36"/>
      <c r="HOA8" s="36"/>
      <c r="HOB8" s="36"/>
      <c r="HOC8" s="36"/>
      <c r="HOD8" s="36"/>
      <c r="HOE8" s="36"/>
      <c r="HOF8" s="36"/>
      <c r="HOG8" s="36"/>
      <c r="HOH8" s="36"/>
      <c r="HOI8" s="36"/>
      <c r="HOJ8" s="36"/>
      <c r="HOK8" s="36"/>
      <c r="HOL8" s="36"/>
      <c r="HOM8" s="36"/>
      <c r="HON8" s="36"/>
      <c r="HOO8" s="36"/>
      <c r="HOP8" s="36"/>
      <c r="HOQ8" s="36"/>
      <c r="HOR8" s="36"/>
      <c r="HOS8" s="36"/>
      <c r="HOT8" s="36"/>
      <c r="HOU8" s="36"/>
      <c r="HOV8" s="36"/>
      <c r="HOW8" s="36"/>
      <c r="HOX8" s="36"/>
      <c r="HOY8" s="36"/>
      <c r="HOZ8" s="36"/>
      <c r="HPA8" s="36"/>
      <c r="HPB8" s="36"/>
      <c r="HPC8" s="36"/>
      <c r="HPD8" s="36"/>
      <c r="HPE8" s="36"/>
      <c r="HPF8" s="36"/>
      <c r="HPG8" s="36"/>
      <c r="HPH8" s="36"/>
      <c r="HPI8" s="36"/>
      <c r="HPJ8" s="36"/>
      <c r="HPK8" s="36"/>
      <c r="HPL8" s="36"/>
      <c r="HPM8" s="36"/>
      <c r="HPN8" s="36"/>
      <c r="HPO8" s="36"/>
      <c r="HPP8" s="36"/>
      <c r="HPQ8" s="36"/>
      <c r="HPR8" s="36"/>
      <c r="HPS8" s="36"/>
      <c r="HPT8" s="36"/>
      <c r="HPU8" s="36"/>
      <c r="HPV8" s="36"/>
      <c r="HPW8" s="36"/>
      <c r="HPX8" s="36"/>
      <c r="HPY8" s="36"/>
      <c r="HPZ8" s="36"/>
      <c r="HQA8" s="36"/>
      <c r="HQB8" s="36"/>
      <c r="HQC8" s="36"/>
      <c r="HQD8" s="36"/>
      <c r="HQE8" s="36"/>
      <c r="HQF8" s="36"/>
      <c r="HQG8" s="36"/>
      <c r="HQH8" s="36"/>
      <c r="HQI8" s="36"/>
      <c r="HQJ8" s="36"/>
      <c r="HQK8" s="36"/>
      <c r="HQL8" s="36"/>
      <c r="HQM8" s="36"/>
      <c r="HQN8" s="36"/>
      <c r="HQO8" s="36"/>
      <c r="HQP8" s="36"/>
      <c r="HQQ8" s="36"/>
      <c r="HQR8" s="36"/>
      <c r="HQS8" s="36"/>
      <c r="HQT8" s="36"/>
      <c r="HQU8" s="36"/>
      <c r="HQV8" s="36"/>
      <c r="HQW8" s="36"/>
      <c r="HQX8" s="36"/>
      <c r="HQY8" s="36"/>
      <c r="HQZ8" s="36"/>
      <c r="HRA8" s="36"/>
      <c r="HRB8" s="36"/>
      <c r="HRC8" s="36"/>
      <c r="HRD8" s="36"/>
      <c r="HRE8" s="36"/>
      <c r="HRF8" s="36"/>
      <c r="HRG8" s="36"/>
      <c r="HRH8" s="36"/>
      <c r="HRI8" s="36"/>
      <c r="HRJ8" s="36"/>
      <c r="HRK8" s="36"/>
      <c r="HRL8" s="36"/>
      <c r="HRM8" s="36"/>
      <c r="HRN8" s="36"/>
      <c r="HRO8" s="36"/>
      <c r="HRP8" s="36"/>
      <c r="HRQ8" s="36"/>
      <c r="HRR8" s="36"/>
      <c r="HRS8" s="36"/>
      <c r="HRT8" s="36"/>
      <c r="HRU8" s="36"/>
      <c r="HRV8" s="36"/>
      <c r="HRW8" s="36"/>
      <c r="HRX8" s="36"/>
      <c r="HRY8" s="36"/>
      <c r="HRZ8" s="36"/>
      <c r="HSA8" s="36"/>
      <c r="HSB8" s="36"/>
      <c r="HSC8" s="36"/>
      <c r="HSD8" s="36"/>
      <c r="HSE8" s="36"/>
      <c r="HSF8" s="36"/>
      <c r="HSG8" s="36"/>
      <c r="HSH8" s="36"/>
      <c r="HSI8" s="36"/>
      <c r="HSJ8" s="36"/>
      <c r="HSK8" s="36"/>
      <c r="HSL8" s="36"/>
      <c r="HSM8" s="36"/>
      <c r="HSN8" s="36"/>
      <c r="HSO8" s="36"/>
      <c r="HSP8" s="36"/>
      <c r="HSQ8" s="36"/>
      <c r="HSR8" s="36"/>
      <c r="HSS8" s="36"/>
      <c r="HST8" s="36"/>
      <c r="HSU8" s="36"/>
      <c r="HSV8" s="36"/>
      <c r="HSW8" s="36"/>
      <c r="HSX8" s="36"/>
      <c r="HSY8" s="36"/>
      <c r="HSZ8" s="36"/>
      <c r="HTA8" s="36"/>
      <c r="HTB8" s="36"/>
      <c r="HTC8" s="36"/>
      <c r="HTD8" s="36"/>
      <c r="HTE8" s="36"/>
      <c r="HTF8" s="36"/>
      <c r="HTG8" s="36"/>
      <c r="HTH8" s="36"/>
      <c r="HTI8" s="36"/>
      <c r="HTJ8" s="36"/>
      <c r="HTK8" s="36"/>
      <c r="HTL8" s="36"/>
      <c r="HTM8" s="36"/>
      <c r="HTN8" s="36"/>
      <c r="HTO8" s="36"/>
      <c r="HTP8" s="36"/>
      <c r="HTQ8" s="36"/>
      <c r="HTR8" s="36"/>
      <c r="HTS8" s="36"/>
      <c r="HTT8" s="36"/>
      <c r="HTU8" s="36"/>
      <c r="HTV8" s="36"/>
      <c r="HTW8" s="36"/>
      <c r="HTX8" s="36"/>
      <c r="HTY8" s="36"/>
      <c r="HTZ8" s="36"/>
      <c r="HUA8" s="36"/>
      <c r="HUB8" s="36"/>
      <c r="HUC8" s="36"/>
      <c r="HUD8" s="36"/>
      <c r="HUE8" s="36"/>
      <c r="HUF8" s="36"/>
      <c r="HUG8" s="36"/>
      <c r="HUH8" s="36"/>
      <c r="HUI8" s="36"/>
      <c r="HUJ8" s="36"/>
      <c r="HUK8" s="36"/>
      <c r="HUL8" s="36"/>
      <c r="HUM8" s="36"/>
      <c r="HUN8" s="36"/>
      <c r="HUO8" s="36"/>
      <c r="HUP8" s="36"/>
      <c r="HUQ8" s="36"/>
      <c r="HUR8" s="36"/>
      <c r="HUS8" s="36"/>
      <c r="HUT8" s="36"/>
      <c r="HUU8" s="36"/>
      <c r="HUV8" s="36"/>
      <c r="HUW8" s="36"/>
      <c r="HUX8" s="36"/>
      <c r="HUY8" s="36"/>
      <c r="HUZ8" s="36"/>
      <c r="HVA8" s="36"/>
      <c r="HVB8" s="36"/>
      <c r="HVC8" s="36"/>
      <c r="HVD8" s="36"/>
      <c r="HVE8" s="36"/>
      <c r="HVF8" s="36"/>
      <c r="HVG8" s="36"/>
      <c r="HVH8" s="36"/>
      <c r="HVI8" s="36"/>
      <c r="HVJ8" s="36"/>
      <c r="HVK8" s="36"/>
      <c r="HVL8" s="36"/>
      <c r="HVM8" s="36"/>
      <c r="HVN8" s="36"/>
      <c r="HVO8" s="36"/>
      <c r="HVP8" s="36"/>
      <c r="HVQ8" s="36"/>
      <c r="HVR8" s="36"/>
      <c r="HVS8" s="36"/>
      <c r="HVT8" s="36"/>
      <c r="HVU8" s="36"/>
      <c r="HVV8" s="36"/>
      <c r="HVW8" s="36"/>
      <c r="HVX8" s="36"/>
      <c r="HVY8" s="36"/>
      <c r="HVZ8" s="36"/>
      <c r="HWA8" s="36"/>
      <c r="HWB8" s="36"/>
      <c r="HWC8" s="36"/>
      <c r="HWD8" s="36"/>
      <c r="HWE8" s="36"/>
      <c r="HWF8" s="36"/>
      <c r="HWG8" s="36"/>
      <c r="HWH8" s="36"/>
      <c r="HWI8" s="36"/>
      <c r="HWJ8" s="36"/>
      <c r="HWK8" s="36"/>
      <c r="HWL8" s="36"/>
      <c r="HWM8" s="36"/>
      <c r="HWN8" s="36"/>
      <c r="HWO8" s="36"/>
      <c r="HWP8" s="36"/>
      <c r="HWQ8" s="36"/>
      <c r="HWR8" s="36"/>
      <c r="HWS8" s="36"/>
      <c r="HWT8" s="36"/>
      <c r="HWU8" s="36"/>
      <c r="HWV8" s="36"/>
      <c r="HWW8" s="36"/>
      <c r="HWX8" s="36"/>
      <c r="HWY8" s="36"/>
      <c r="HWZ8" s="36"/>
      <c r="HXA8" s="36"/>
      <c r="HXB8" s="36"/>
      <c r="HXC8" s="36"/>
      <c r="HXD8" s="36"/>
      <c r="HXE8" s="36"/>
      <c r="HXF8" s="36"/>
      <c r="HXG8" s="36"/>
      <c r="HXH8" s="36"/>
      <c r="HXI8" s="36"/>
      <c r="HXJ8" s="36"/>
      <c r="HXK8" s="36"/>
      <c r="HXL8" s="36"/>
      <c r="HXM8" s="36"/>
      <c r="HXN8" s="36"/>
      <c r="HXO8" s="36"/>
      <c r="HXP8" s="36"/>
      <c r="HXQ8" s="36"/>
      <c r="HXR8" s="36"/>
      <c r="HXS8" s="36"/>
      <c r="HXT8" s="36"/>
      <c r="HXU8" s="36"/>
      <c r="HXV8" s="36"/>
      <c r="HXW8" s="36"/>
      <c r="HXX8" s="36"/>
      <c r="HXY8" s="36"/>
      <c r="HXZ8" s="36"/>
      <c r="HYA8" s="36"/>
      <c r="HYB8" s="36"/>
      <c r="HYC8" s="36"/>
      <c r="HYD8" s="36"/>
      <c r="HYE8" s="36"/>
      <c r="HYF8" s="36"/>
      <c r="HYG8" s="36"/>
      <c r="HYH8" s="36"/>
      <c r="HYI8" s="36"/>
      <c r="HYJ8" s="36"/>
      <c r="HYK8" s="36"/>
      <c r="HYL8" s="36"/>
      <c r="HYM8" s="36"/>
      <c r="HYN8" s="36"/>
      <c r="HYO8" s="36"/>
      <c r="HYP8" s="36"/>
      <c r="HYQ8" s="36"/>
      <c r="HYR8" s="36"/>
      <c r="HYS8" s="36"/>
      <c r="HYT8" s="36"/>
      <c r="HYU8" s="36"/>
      <c r="HYV8" s="36"/>
      <c r="HYW8" s="36"/>
      <c r="HYX8" s="36"/>
      <c r="HYY8" s="36"/>
      <c r="HYZ8" s="36"/>
      <c r="HZA8" s="36"/>
      <c r="HZB8" s="36"/>
      <c r="HZC8" s="36"/>
      <c r="HZD8" s="36"/>
      <c r="HZE8" s="36"/>
      <c r="HZF8" s="36"/>
      <c r="HZG8" s="36"/>
      <c r="HZH8" s="36"/>
      <c r="HZI8" s="36"/>
      <c r="HZJ8" s="36"/>
      <c r="HZK8" s="36"/>
      <c r="HZL8" s="36"/>
      <c r="HZM8" s="36"/>
      <c r="HZN8" s="36"/>
      <c r="HZO8" s="36"/>
      <c r="HZP8" s="36"/>
      <c r="HZQ8" s="36"/>
      <c r="HZR8" s="36"/>
      <c r="HZS8" s="36"/>
      <c r="HZT8" s="36"/>
      <c r="HZU8" s="36"/>
      <c r="HZV8" s="36"/>
      <c r="HZW8" s="36"/>
      <c r="HZX8" s="36"/>
      <c r="HZY8" s="36"/>
      <c r="HZZ8" s="36"/>
      <c r="IAA8" s="36"/>
      <c r="IAB8" s="36"/>
      <c r="IAC8" s="36"/>
      <c r="IAD8" s="36"/>
      <c r="IAE8" s="36"/>
      <c r="IAF8" s="36"/>
      <c r="IAG8" s="36"/>
      <c r="IAH8" s="36"/>
      <c r="IAI8" s="36"/>
      <c r="IAJ8" s="36"/>
      <c r="IAK8" s="36"/>
      <c r="IAL8" s="36"/>
      <c r="IAM8" s="36"/>
      <c r="IAN8" s="36"/>
      <c r="IAO8" s="36"/>
      <c r="IAP8" s="36"/>
      <c r="IAQ8" s="36"/>
      <c r="IAR8" s="36"/>
      <c r="IAS8" s="36"/>
      <c r="IAT8" s="36"/>
      <c r="IAU8" s="36"/>
      <c r="IAV8" s="36"/>
      <c r="IAW8" s="36"/>
      <c r="IAX8" s="36"/>
      <c r="IAY8" s="36"/>
      <c r="IAZ8" s="36"/>
      <c r="IBA8" s="36"/>
      <c r="IBB8" s="36"/>
      <c r="IBC8" s="36"/>
      <c r="IBD8" s="36"/>
      <c r="IBE8" s="36"/>
      <c r="IBF8" s="36"/>
      <c r="IBG8" s="36"/>
      <c r="IBH8" s="36"/>
      <c r="IBI8" s="36"/>
      <c r="IBJ8" s="36"/>
      <c r="IBK8" s="36"/>
      <c r="IBL8" s="36"/>
      <c r="IBM8" s="36"/>
      <c r="IBN8" s="36"/>
      <c r="IBO8" s="36"/>
      <c r="IBP8" s="36"/>
      <c r="IBQ8" s="36"/>
      <c r="IBR8" s="36"/>
      <c r="IBS8" s="36"/>
      <c r="IBT8" s="36"/>
      <c r="IBU8" s="36"/>
      <c r="IBV8" s="36"/>
      <c r="IBW8" s="36"/>
      <c r="IBX8" s="36"/>
      <c r="IBY8" s="36"/>
      <c r="IBZ8" s="36"/>
      <c r="ICA8" s="36"/>
      <c r="ICB8" s="36"/>
      <c r="ICC8" s="36"/>
      <c r="ICD8" s="36"/>
      <c r="ICE8" s="36"/>
      <c r="ICF8" s="36"/>
      <c r="ICG8" s="36"/>
      <c r="ICH8" s="36"/>
      <c r="ICI8" s="36"/>
      <c r="ICJ8" s="36"/>
      <c r="ICK8" s="36"/>
      <c r="ICL8" s="36"/>
      <c r="ICM8" s="36"/>
      <c r="ICN8" s="36"/>
      <c r="ICO8" s="36"/>
      <c r="ICP8" s="36"/>
      <c r="ICQ8" s="36"/>
      <c r="ICR8" s="36"/>
      <c r="ICS8" s="36"/>
      <c r="ICT8" s="36"/>
      <c r="ICU8" s="36"/>
      <c r="ICV8" s="36"/>
      <c r="ICW8" s="36"/>
      <c r="ICX8" s="36"/>
      <c r="ICY8" s="36"/>
      <c r="ICZ8" s="36"/>
      <c r="IDA8" s="36"/>
      <c r="IDB8" s="36"/>
      <c r="IDC8" s="36"/>
      <c r="IDD8" s="36"/>
      <c r="IDE8" s="36"/>
      <c r="IDF8" s="36"/>
      <c r="IDG8" s="36"/>
      <c r="IDH8" s="36"/>
      <c r="IDI8" s="36"/>
      <c r="IDJ8" s="36"/>
      <c r="IDK8" s="36"/>
      <c r="IDL8" s="36"/>
      <c r="IDM8" s="36"/>
      <c r="IDN8" s="36"/>
      <c r="IDO8" s="36"/>
      <c r="IDP8" s="36"/>
      <c r="IDQ8" s="36"/>
      <c r="IDR8" s="36"/>
      <c r="IDS8" s="36"/>
      <c r="IDT8" s="36"/>
      <c r="IDU8" s="36"/>
      <c r="IDV8" s="36"/>
      <c r="IDW8" s="36"/>
      <c r="IDX8" s="36"/>
      <c r="IDY8" s="36"/>
      <c r="IDZ8" s="36"/>
      <c r="IEA8" s="36"/>
      <c r="IEB8" s="36"/>
      <c r="IEC8" s="36"/>
      <c r="IED8" s="36"/>
      <c r="IEE8" s="36"/>
      <c r="IEF8" s="36"/>
      <c r="IEG8" s="36"/>
      <c r="IEH8" s="36"/>
      <c r="IEI8" s="36"/>
      <c r="IEJ8" s="36"/>
      <c r="IEK8" s="36"/>
      <c r="IEL8" s="36"/>
      <c r="IEM8" s="36"/>
      <c r="IEN8" s="36"/>
      <c r="IEO8" s="36"/>
      <c r="IEP8" s="36"/>
      <c r="IEQ8" s="36"/>
      <c r="IER8" s="36"/>
      <c r="IES8" s="36"/>
      <c r="IET8" s="36"/>
      <c r="IEU8" s="36"/>
      <c r="IEV8" s="36"/>
      <c r="IEW8" s="36"/>
      <c r="IEX8" s="36"/>
      <c r="IEY8" s="36"/>
      <c r="IEZ8" s="36"/>
      <c r="IFA8" s="36"/>
      <c r="IFB8" s="36"/>
      <c r="IFC8" s="36"/>
      <c r="IFD8" s="36"/>
      <c r="IFE8" s="36"/>
      <c r="IFF8" s="36"/>
      <c r="IFG8" s="36"/>
      <c r="IFH8" s="36"/>
      <c r="IFI8" s="36"/>
      <c r="IFJ8" s="36"/>
      <c r="IFK8" s="36"/>
      <c r="IFL8" s="36"/>
      <c r="IFM8" s="36"/>
      <c r="IFN8" s="36"/>
      <c r="IFO8" s="36"/>
      <c r="IFP8" s="36"/>
      <c r="IFQ8" s="36"/>
      <c r="IFR8" s="36"/>
      <c r="IFS8" s="36"/>
      <c r="IFT8" s="36"/>
      <c r="IFU8" s="36"/>
      <c r="IFV8" s="36"/>
      <c r="IFW8" s="36"/>
      <c r="IFX8" s="36"/>
      <c r="IFY8" s="36"/>
      <c r="IFZ8" s="36"/>
      <c r="IGA8" s="36"/>
      <c r="IGB8" s="36"/>
      <c r="IGC8" s="36"/>
      <c r="IGD8" s="36"/>
      <c r="IGE8" s="36"/>
      <c r="IGF8" s="36"/>
      <c r="IGG8" s="36"/>
      <c r="IGH8" s="36"/>
      <c r="IGI8" s="36"/>
      <c r="IGJ8" s="36"/>
      <c r="IGK8" s="36"/>
      <c r="IGL8" s="36"/>
      <c r="IGM8" s="36"/>
      <c r="IGN8" s="36"/>
      <c r="IGO8" s="36"/>
      <c r="IGP8" s="36"/>
      <c r="IGQ8" s="36"/>
      <c r="IGR8" s="36"/>
      <c r="IGS8" s="36"/>
      <c r="IGT8" s="36"/>
      <c r="IGU8" s="36"/>
      <c r="IGV8" s="36"/>
      <c r="IGW8" s="36"/>
      <c r="IGX8" s="36"/>
      <c r="IGY8" s="36"/>
      <c r="IGZ8" s="36"/>
      <c r="IHA8" s="36"/>
      <c r="IHB8" s="36"/>
      <c r="IHC8" s="36"/>
      <c r="IHD8" s="36"/>
      <c r="IHE8" s="36"/>
      <c r="IHF8" s="36"/>
      <c r="IHG8" s="36"/>
      <c r="IHH8" s="36"/>
      <c r="IHI8" s="36"/>
      <c r="IHJ8" s="36"/>
      <c r="IHK8" s="36"/>
      <c r="IHL8" s="36"/>
      <c r="IHM8" s="36"/>
      <c r="IHN8" s="36"/>
      <c r="IHO8" s="36"/>
      <c r="IHP8" s="36"/>
      <c r="IHQ8" s="36"/>
      <c r="IHR8" s="36"/>
      <c r="IHS8" s="36"/>
      <c r="IHT8" s="36"/>
      <c r="IHU8" s="36"/>
      <c r="IHV8" s="36"/>
      <c r="IHW8" s="36"/>
      <c r="IHX8" s="36"/>
      <c r="IHY8" s="36"/>
      <c r="IHZ8" s="36"/>
      <c r="IIA8" s="36"/>
      <c r="IIB8" s="36"/>
      <c r="IIC8" s="36"/>
      <c r="IID8" s="36"/>
      <c r="IIE8" s="36"/>
      <c r="IIF8" s="36"/>
      <c r="IIG8" s="36"/>
      <c r="IIH8" s="36"/>
      <c r="III8" s="36"/>
      <c r="IIJ8" s="36"/>
      <c r="IIK8" s="36"/>
      <c r="IIL8" s="36"/>
      <c r="IIM8" s="36"/>
      <c r="IIN8" s="36"/>
      <c r="IIO8" s="36"/>
      <c r="IIP8" s="36"/>
      <c r="IIQ8" s="36"/>
      <c r="IIR8" s="36"/>
      <c r="IIS8" s="36"/>
      <c r="IIT8" s="36"/>
      <c r="IIU8" s="36"/>
      <c r="IIV8" s="36"/>
      <c r="IIW8" s="36"/>
      <c r="IIX8" s="36"/>
      <c r="IIY8" s="36"/>
      <c r="IIZ8" s="36"/>
      <c r="IJA8" s="36"/>
      <c r="IJB8" s="36"/>
      <c r="IJC8" s="36"/>
      <c r="IJD8" s="36"/>
      <c r="IJE8" s="36"/>
      <c r="IJF8" s="36"/>
      <c r="IJG8" s="36"/>
      <c r="IJH8" s="36"/>
      <c r="IJI8" s="36"/>
      <c r="IJJ8" s="36"/>
      <c r="IJK8" s="36"/>
      <c r="IJL8" s="36"/>
      <c r="IJM8" s="36"/>
      <c r="IJN8" s="36"/>
      <c r="IJO8" s="36"/>
      <c r="IJP8" s="36"/>
      <c r="IJQ8" s="36"/>
      <c r="IJR8" s="36"/>
      <c r="IJS8" s="36"/>
      <c r="IJT8" s="36"/>
      <c r="IJU8" s="36"/>
      <c r="IJV8" s="36"/>
      <c r="IJW8" s="36"/>
      <c r="IJX8" s="36"/>
      <c r="IJY8" s="36"/>
      <c r="IJZ8" s="36"/>
      <c r="IKA8" s="36"/>
      <c r="IKB8" s="36"/>
      <c r="IKC8" s="36"/>
      <c r="IKD8" s="36"/>
      <c r="IKE8" s="36"/>
      <c r="IKF8" s="36"/>
      <c r="IKG8" s="36"/>
      <c r="IKH8" s="36"/>
      <c r="IKI8" s="36"/>
      <c r="IKJ8" s="36"/>
      <c r="IKK8" s="36"/>
      <c r="IKL8" s="36"/>
      <c r="IKM8" s="36"/>
      <c r="IKN8" s="36"/>
      <c r="IKO8" s="36"/>
      <c r="IKP8" s="36"/>
      <c r="IKQ8" s="36"/>
      <c r="IKR8" s="36"/>
      <c r="IKS8" s="36"/>
      <c r="IKT8" s="36"/>
      <c r="IKU8" s="36"/>
      <c r="IKV8" s="36"/>
      <c r="IKW8" s="36"/>
      <c r="IKX8" s="36"/>
      <c r="IKY8" s="36"/>
      <c r="IKZ8" s="36"/>
      <c r="ILA8" s="36"/>
      <c r="ILB8" s="36"/>
      <c r="ILC8" s="36"/>
      <c r="ILD8" s="36"/>
      <c r="ILE8" s="36"/>
      <c r="ILF8" s="36"/>
      <c r="ILG8" s="36"/>
      <c r="ILH8" s="36"/>
      <c r="ILI8" s="36"/>
      <c r="ILJ8" s="36"/>
      <c r="ILK8" s="36"/>
      <c r="ILL8" s="36"/>
      <c r="ILM8" s="36"/>
      <c r="ILN8" s="36"/>
      <c r="ILO8" s="36"/>
      <c r="ILP8" s="36"/>
      <c r="ILQ8" s="36"/>
      <c r="ILR8" s="36"/>
      <c r="ILS8" s="36"/>
      <c r="ILT8" s="36"/>
      <c r="ILU8" s="36"/>
      <c r="ILV8" s="36"/>
      <c r="ILW8" s="36"/>
      <c r="ILX8" s="36"/>
      <c r="ILY8" s="36"/>
      <c r="ILZ8" s="36"/>
      <c r="IMA8" s="36"/>
      <c r="IMB8" s="36"/>
      <c r="IMC8" s="36"/>
      <c r="IMD8" s="36"/>
      <c r="IME8" s="36"/>
      <c r="IMF8" s="36"/>
      <c r="IMG8" s="36"/>
      <c r="IMH8" s="36"/>
      <c r="IMI8" s="36"/>
      <c r="IMJ8" s="36"/>
      <c r="IMK8" s="36"/>
      <c r="IML8" s="36"/>
      <c r="IMM8" s="36"/>
      <c r="IMN8" s="36"/>
      <c r="IMO8" s="36"/>
      <c r="IMP8" s="36"/>
      <c r="IMQ8" s="36"/>
      <c r="IMR8" s="36"/>
      <c r="IMS8" s="36"/>
      <c r="IMT8" s="36"/>
      <c r="IMU8" s="36"/>
      <c r="IMV8" s="36"/>
      <c r="IMW8" s="36"/>
      <c r="IMX8" s="36"/>
      <c r="IMY8" s="36"/>
      <c r="IMZ8" s="36"/>
      <c r="INA8" s="36"/>
      <c r="INB8" s="36"/>
      <c r="INC8" s="36"/>
      <c r="IND8" s="36"/>
      <c r="INE8" s="36"/>
      <c r="INF8" s="36"/>
      <c r="ING8" s="36"/>
      <c r="INH8" s="36"/>
      <c r="INI8" s="36"/>
      <c r="INJ8" s="36"/>
      <c r="INK8" s="36"/>
      <c r="INL8" s="36"/>
      <c r="INM8" s="36"/>
      <c r="INN8" s="36"/>
      <c r="INO8" s="36"/>
      <c r="INP8" s="36"/>
      <c r="INQ8" s="36"/>
      <c r="INR8" s="36"/>
      <c r="INS8" s="36"/>
      <c r="INT8" s="36"/>
      <c r="INU8" s="36"/>
      <c r="INV8" s="36"/>
      <c r="INW8" s="36"/>
      <c r="INX8" s="36"/>
      <c r="INY8" s="36"/>
      <c r="INZ8" s="36"/>
      <c r="IOA8" s="36"/>
      <c r="IOB8" s="36"/>
      <c r="IOC8" s="36"/>
      <c r="IOD8" s="36"/>
      <c r="IOE8" s="36"/>
      <c r="IOF8" s="36"/>
      <c r="IOG8" s="36"/>
      <c r="IOH8" s="36"/>
      <c r="IOI8" s="36"/>
      <c r="IOJ8" s="36"/>
      <c r="IOK8" s="36"/>
      <c r="IOL8" s="36"/>
      <c r="IOM8" s="36"/>
      <c r="ION8" s="36"/>
      <c r="IOO8" s="36"/>
      <c r="IOP8" s="36"/>
      <c r="IOQ8" s="36"/>
      <c r="IOR8" s="36"/>
      <c r="IOS8" s="36"/>
      <c r="IOT8" s="36"/>
      <c r="IOU8" s="36"/>
      <c r="IOV8" s="36"/>
      <c r="IOW8" s="36"/>
      <c r="IOX8" s="36"/>
      <c r="IOY8" s="36"/>
      <c r="IOZ8" s="36"/>
      <c r="IPA8" s="36"/>
      <c r="IPB8" s="36"/>
      <c r="IPC8" s="36"/>
      <c r="IPD8" s="36"/>
      <c r="IPE8" s="36"/>
      <c r="IPF8" s="36"/>
      <c r="IPG8" s="36"/>
      <c r="IPH8" s="36"/>
      <c r="IPI8" s="36"/>
      <c r="IPJ8" s="36"/>
      <c r="IPK8" s="36"/>
      <c r="IPL8" s="36"/>
      <c r="IPM8" s="36"/>
      <c r="IPN8" s="36"/>
      <c r="IPO8" s="36"/>
      <c r="IPP8" s="36"/>
      <c r="IPQ8" s="36"/>
      <c r="IPR8" s="36"/>
      <c r="IPS8" s="36"/>
      <c r="IPT8" s="36"/>
      <c r="IPU8" s="36"/>
      <c r="IPV8" s="36"/>
      <c r="IPW8" s="36"/>
      <c r="IPX8" s="36"/>
      <c r="IPY8" s="36"/>
      <c r="IPZ8" s="36"/>
      <c r="IQA8" s="36"/>
      <c r="IQB8" s="36"/>
      <c r="IQC8" s="36"/>
      <c r="IQD8" s="36"/>
      <c r="IQE8" s="36"/>
      <c r="IQF8" s="36"/>
      <c r="IQG8" s="36"/>
      <c r="IQH8" s="36"/>
      <c r="IQI8" s="36"/>
      <c r="IQJ8" s="36"/>
      <c r="IQK8" s="36"/>
      <c r="IQL8" s="36"/>
      <c r="IQM8" s="36"/>
      <c r="IQN8" s="36"/>
      <c r="IQO8" s="36"/>
      <c r="IQP8" s="36"/>
      <c r="IQQ8" s="36"/>
      <c r="IQR8" s="36"/>
      <c r="IQS8" s="36"/>
      <c r="IQT8" s="36"/>
      <c r="IQU8" s="36"/>
      <c r="IQV8" s="36"/>
      <c r="IQW8" s="36"/>
      <c r="IQX8" s="36"/>
      <c r="IQY8" s="36"/>
      <c r="IQZ8" s="36"/>
      <c r="IRA8" s="36"/>
      <c r="IRB8" s="36"/>
      <c r="IRC8" s="36"/>
      <c r="IRD8" s="36"/>
      <c r="IRE8" s="36"/>
      <c r="IRF8" s="36"/>
      <c r="IRG8" s="36"/>
      <c r="IRH8" s="36"/>
      <c r="IRI8" s="36"/>
      <c r="IRJ8" s="36"/>
      <c r="IRK8" s="36"/>
      <c r="IRL8" s="36"/>
      <c r="IRM8" s="36"/>
      <c r="IRN8" s="36"/>
      <c r="IRO8" s="36"/>
      <c r="IRP8" s="36"/>
      <c r="IRQ8" s="36"/>
      <c r="IRR8" s="36"/>
      <c r="IRS8" s="36"/>
      <c r="IRT8" s="36"/>
      <c r="IRU8" s="36"/>
      <c r="IRV8" s="36"/>
      <c r="IRW8" s="36"/>
      <c r="IRX8" s="36"/>
      <c r="IRY8" s="36"/>
      <c r="IRZ8" s="36"/>
      <c r="ISA8" s="36"/>
      <c r="ISB8" s="36"/>
      <c r="ISC8" s="36"/>
      <c r="ISD8" s="36"/>
      <c r="ISE8" s="36"/>
      <c r="ISF8" s="36"/>
      <c r="ISG8" s="36"/>
      <c r="ISH8" s="36"/>
      <c r="ISI8" s="36"/>
      <c r="ISJ8" s="36"/>
      <c r="ISK8" s="36"/>
      <c r="ISL8" s="36"/>
      <c r="ISM8" s="36"/>
      <c r="ISN8" s="36"/>
      <c r="ISO8" s="36"/>
      <c r="ISP8" s="36"/>
      <c r="ISQ8" s="36"/>
      <c r="ISR8" s="36"/>
      <c r="ISS8" s="36"/>
      <c r="IST8" s="36"/>
      <c r="ISU8" s="36"/>
      <c r="ISV8" s="36"/>
      <c r="ISW8" s="36"/>
      <c r="ISX8" s="36"/>
      <c r="ISY8" s="36"/>
      <c r="ISZ8" s="36"/>
      <c r="ITA8" s="36"/>
      <c r="ITB8" s="36"/>
      <c r="ITC8" s="36"/>
      <c r="ITD8" s="36"/>
      <c r="ITE8" s="36"/>
      <c r="ITF8" s="36"/>
      <c r="ITG8" s="36"/>
      <c r="ITH8" s="36"/>
      <c r="ITI8" s="36"/>
      <c r="ITJ8" s="36"/>
      <c r="ITK8" s="36"/>
      <c r="ITL8" s="36"/>
      <c r="ITM8" s="36"/>
      <c r="ITN8" s="36"/>
      <c r="ITO8" s="36"/>
      <c r="ITP8" s="36"/>
      <c r="ITQ8" s="36"/>
      <c r="ITR8" s="36"/>
      <c r="ITS8" s="36"/>
      <c r="ITT8" s="36"/>
      <c r="ITU8" s="36"/>
      <c r="ITV8" s="36"/>
      <c r="ITW8" s="36"/>
      <c r="ITX8" s="36"/>
      <c r="ITY8" s="36"/>
      <c r="ITZ8" s="36"/>
      <c r="IUA8" s="36"/>
      <c r="IUB8" s="36"/>
      <c r="IUC8" s="36"/>
      <c r="IUD8" s="36"/>
      <c r="IUE8" s="36"/>
      <c r="IUF8" s="36"/>
      <c r="IUG8" s="36"/>
      <c r="IUH8" s="36"/>
      <c r="IUI8" s="36"/>
      <c r="IUJ8" s="36"/>
      <c r="IUK8" s="36"/>
      <c r="IUL8" s="36"/>
      <c r="IUM8" s="36"/>
      <c r="IUN8" s="36"/>
      <c r="IUO8" s="36"/>
      <c r="IUP8" s="36"/>
      <c r="IUQ8" s="36"/>
      <c r="IUR8" s="36"/>
      <c r="IUS8" s="36"/>
      <c r="IUT8" s="36"/>
      <c r="IUU8" s="36"/>
      <c r="IUV8" s="36"/>
      <c r="IUW8" s="36"/>
      <c r="IUX8" s="36"/>
      <c r="IUY8" s="36"/>
      <c r="IUZ8" s="36"/>
      <c r="IVA8" s="36"/>
      <c r="IVB8" s="36"/>
      <c r="IVC8" s="36"/>
      <c r="IVD8" s="36"/>
      <c r="IVE8" s="36"/>
      <c r="IVF8" s="36"/>
      <c r="IVG8" s="36"/>
      <c r="IVH8" s="36"/>
      <c r="IVI8" s="36"/>
      <c r="IVJ8" s="36"/>
      <c r="IVK8" s="36"/>
      <c r="IVL8" s="36"/>
      <c r="IVM8" s="36"/>
      <c r="IVN8" s="36"/>
      <c r="IVO8" s="36"/>
      <c r="IVP8" s="36"/>
      <c r="IVQ8" s="36"/>
      <c r="IVR8" s="36"/>
      <c r="IVS8" s="36"/>
      <c r="IVT8" s="36"/>
      <c r="IVU8" s="36"/>
      <c r="IVV8" s="36"/>
      <c r="IVW8" s="36"/>
      <c r="IVX8" s="36"/>
      <c r="IVY8" s="36"/>
      <c r="IVZ8" s="36"/>
      <c r="IWA8" s="36"/>
      <c r="IWB8" s="36"/>
      <c r="IWC8" s="36"/>
      <c r="IWD8" s="36"/>
      <c r="IWE8" s="36"/>
      <c r="IWF8" s="36"/>
      <c r="IWG8" s="36"/>
      <c r="IWH8" s="36"/>
      <c r="IWI8" s="36"/>
      <c r="IWJ8" s="36"/>
      <c r="IWK8" s="36"/>
      <c r="IWL8" s="36"/>
      <c r="IWM8" s="36"/>
      <c r="IWN8" s="36"/>
      <c r="IWO8" s="36"/>
      <c r="IWP8" s="36"/>
      <c r="IWQ8" s="36"/>
      <c r="IWR8" s="36"/>
      <c r="IWS8" s="36"/>
      <c r="IWT8" s="36"/>
      <c r="IWU8" s="36"/>
      <c r="IWV8" s="36"/>
      <c r="IWW8" s="36"/>
      <c r="IWX8" s="36"/>
      <c r="IWY8" s="36"/>
      <c r="IWZ8" s="36"/>
      <c r="IXA8" s="36"/>
      <c r="IXB8" s="36"/>
      <c r="IXC8" s="36"/>
      <c r="IXD8" s="36"/>
      <c r="IXE8" s="36"/>
      <c r="IXF8" s="36"/>
      <c r="IXG8" s="36"/>
      <c r="IXH8" s="36"/>
      <c r="IXI8" s="36"/>
      <c r="IXJ8" s="36"/>
      <c r="IXK8" s="36"/>
      <c r="IXL8" s="36"/>
      <c r="IXM8" s="36"/>
      <c r="IXN8" s="36"/>
      <c r="IXO8" s="36"/>
      <c r="IXP8" s="36"/>
      <c r="IXQ8" s="36"/>
      <c r="IXR8" s="36"/>
      <c r="IXS8" s="36"/>
      <c r="IXT8" s="36"/>
      <c r="IXU8" s="36"/>
      <c r="IXV8" s="36"/>
      <c r="IXW8" s="36"/>
      <c r="IXX8" s="36"/>
      <c r="IXY8" s="36"/>
      <c r="IXZ8" s="36"/>
      <c r="IYA8" s="36"/>
      <c r="IYB8" s="36"/>
      <c r="IYC8" s="36"/>
      <c r="IYD8" s="36"/>
      <c r="IYE8" s="36"/>
      <c r="IYF8" s="36"/>
      <c r="IYG8" s="36"/>
      <c r="IYH8" s="36"/>
      <c r="IYI8" s="36"/>
      <c r="IYJ8" s="36"/>
      <c r="IYK8" s="36"/>
      <c r="IYL8" s="36"/>
      <c r="IYM8" s="36"/>
      <c r="IYN8" s="36"/>
      <c r="IYO8" s="36"/>
      <c r="IYP8" s="36"/>
      <c r="IYQ8" s="36"/>
      <c r="IYR8" s="36"/>
      <c r="IYS8" s="36"/>
      <c r="IYT8" s="36"/>
      <c r="IYU8" s="36"/>
      <c r="IYV8" s="36"/>
      <c r="IYW8" s="36"/>
      <c r="IYX8" s="36"/>
      <c r="IYY8" s="36"/>
      <c r="IYZ8" s="36"/>
      <c r="IZA8" s="36"/>
      <c r="IZB8" s="36"/>
      <c r="IZC8" s="36"/>
      <c r="IZD8" s="36"/>
      <c r="IZE8" s="36"/>
      <c r="IZF8" s="36"/>
      <c r="IZG8" s="36"/>
      <c r="IZH8" s="36"/>
      <c r="IZI8" s="36"/>
      <c r="IZJ8" s="36"/>
      <c r="IZK8" s="36"/>
      <c r="IZL8" s="36"/>
      <c r="IZM8" s="36"/>
      <c r="IZN8" s="36"/>
      <c r="IZO8" s="36"/>
      <c r="IZP8" s="36"/>
      <c r="IZQ8" s="36"/>
      <c r="IZR8" s="36"/>
      <c r="IZS8" s="36"/>
      <c r="IZT8" s="36"/>
      <c r="IZU8" s="36"/>
      <c r="IZV8" s="36"/>
      <c r="IZW8" s="36"/>
      <c r="IZX8" s="36"/>
      <c r="IZY8" s="36"/>
      <c r="IZZ8" s="36"/>
      <c r="JAA8" s="36"/>
      <c r="JAB8" s="36"/>
      <c r="JAC8" s="36"/>
      <c r="JAD8" s="36"/>
      <c r="JAE8" s="36"/>
      <c r="JAF8" s="36"/>
      <c r="JAG8" s="36"/>
      <c r="JAH8" s="36"/>
      <c r="JAI8" s="36"/>
      <c r="JAJ8" s="36"/>
      <c r="JAK8" s="36"/>
      <c r="JAL8" s="36"/>
      <c r="JAM8" s="36"/>
      <c r="JAN8" s="36"/>
      <c r="JAO8" s="36"/>
      <c r="JAP8" s="36"/>
      <c r="JAQ8" s="36"/>
      <c r="JAR8" s="36"/>
      <c r="JAS8" s="36"/>
      <c r="JAT8" s="36"/>
      <c r="JAU8" s="36"/>
      <c r="JAV8" s="36"/>
      <c r="JAW8" s="36"/>
      <c r="JAX8" s="36"/>
      <c r="JAY8" s="36"/>
      <c r="JAZ8" s="36"/>
      <c r="JBA8" s="36"/>
      <c r="JBB8" s="36"/>
      <c r="JBC8" s="36"/>
      <c r="JBD8" s="36"/>
      <c r="JBE8" s="36"/>
      <c r="JBF8" s="36"/>
      <c r="JBG8" s="36"/>
      <c r="JBH8" s="36"/>
      <c r="JBI8" s="36"/>
      <c r="JBJ8" s="36"/>
      <c r="JBK8" s="36"/>
      <c r="JBL8" s="36"/>
      <c r="JBM8" s="36"/>
      <c r="JBN8" s="36"/>
      <c r="JBO8" s="36"/>
      <c r="JBP8" s="36"/>
      <c r="JBQ8" s="36"/>
      <c r="JBR8" s="36"/>
      <c r="JBS8" s="36"/>
      <c r="JBT8" s="36"/>
      <c r="JBU8" s="36"/>
      <c r="JBV8" s="36"/>
      <c r="JBW8" s="36"/>
      <c r="JBX8" s="36"/>
      <c r="JBY8" s="36"/>
      <c r="JBZ8" s="36"/>
      <c r="JCA8" s="36"/>
      <c r="JCB8" s="36"/>
      <c r="JCC8" s="36"/>
      <c r="JCD8" s="36"/>
      <c r="JCE8" s="36"/>
      <c r="JCF8" s="36"/>
      <c r="JCG8" s="36"/>
      <c r="JCH8" s="36"/>
      <c r="JCI8" s="36"/>
      <c r="JCJ8" s="36"/>
      <c r="JCK8" s="36"/>
      <c r="JCL8" s="36"/>
      <c r="JCM8" s="36"/>
      <c r="JCN8" s="36"/>
      <c r="JCO8" s="36"/>
      <c r="JCP8" s="36"/>
      <c r="JCQ8" s="36"/>
      <c r="JCR8" s="36"/>
      <c r="JCS8" s="36"/>
      <c r="JCT8" s="36"/>
      <c r="JCU8" s="36"/>
      <c r="JCV8" s="36"/>
      <c r="JCW8" s="36"/>
      <c r="JCX8" s="36"/>
      <c r="JCY8" s="36"/>
      <c r="JCZ8" s="36"/>
      <c r="JDA8" s="36"/>
      <c r="JDB8" s="36"/>
      <c r="JDC8" s="36"/>
      <c r="JDD8" s="36"/>
      <c r="JDE8" s="36"/>
      <c r="JDF8" s="36"/>
      <c r="JDG8" s="36"/>
      <c r="JDH8" s="36"/>
      <c r="JDI8" s="36"/>
      <c r="JDJ8" s="36"/>
      <c r="JDK8" s="36"/>
      <c r="JDL8" s="36"/>
      <c r="JDM8" s="36"/>
      <c r="JDN8" s="36"/>
      <c r="JDO8" s="36"/>
      <c r="JDP8" s="36"/>
      <c r="JDQ8" s="36"/>
      <c r="JDR8" s="36"/>
      <c r="JDS8" s="36"/>
      <c r="JDT8" s="36"/>
      <c r="JDU8" s="36"/>
      <c r="JDV8" s="36"/>
      <c r="JDW8" s="36"/>
      <c r="JDX8" s="36"/>
      <c r="JDY8" s="36"/>
      <c r="JDZ8" s="36"/>
      <c r="JEA8" s="36"/>
      <c r="JEB8" s="36"/>
      <c r="JEC8" s="36"/>
      <c r="JED8" s="36"/>
      <c r="JEE8" s="36"/>
      <c r="JEF8" s="36"/>
      <c r="JEG8" s="36"/>
      <c r="JEH8" s="36"/>
      <c r="JEI8" s="36"/>
      <c r="JEJ8" s="36"/>
      <c r="JEK8" s="36"/>
      <c r="JEL8" s="36"/>
      <c r="JEM8" s="36"/>
      <c r="JEN8" s="36"/>
      <c r="JEO8" s="36"/>
      <c r="JEP8" s="36"/>
      <c r="JEQ8" s="36"/>
      <c r="JER8" s="36"/>
      <c r="JES8" s="36"/>
      <c r="JET8" s="36"/>
      <c r="JEU8" s="36"/>
      <c r="JEV8" s="36"/>
      <c r="JEW8" s="36"/>
      <c r="JEX8" s="36"/>
      <c r="JEY8" s="36"/>
      <c r="JEZ8" s="36"/>
      <c r="JFA8" s="36"/>
      <c r="JFB8" s="36"/>
      <c r="JFC8" s="36"/>
      <c r="JFD8" s="36"/>
      <c r="JFE8" s="36"/>
      <c r="JFF8" s="36"/>
      <c r="JFG8" s="36"/>
      <c r="JFH8" s="36"/>
      <c r="JFI8" s="36"/>
      <c r="JFJ8" s="36"/>
      <c r="JFK8" s="36"/>
      <c r="JFL8" s="36"/>
      <c r="JFM8" s="36"/>
      <c r="JFN8" s="36"/>
      <c r="JFO8" s="36"/>
      <c r="JFP8" s="36"/>
      <c r="JFQ8" s="36"/>
      <c r="JFR8" s="36"/>
      <c r="JFS8" s="36"/>
      <c r="JFT8" s="36"/>
      <c r="JFU8" s="36"/>
      <c r="JFV8" s="36"/>
      <c r="JFW8" s="36"/>
      <c r="JFX8" s="36"/>
      <c r="JFY8" s="36"/>
      <c r="JFZ8" s="36"/>
      <c r="JGA8" s="36"/>
      <c r="JGB8" s="36"/>
      <c r="JGC8" s="36"/>
      <c r="JGD8" s="36"/>
      <c r="JGE8" s="36"/>
      <c r="JGF8" s="36"/>
      <c r="JGG8" s="36"/>
      <c r="JGH8" s="36"/>
      <c r="JGI8" s="36"/>
      <c r="JGJ8" s="36"/>
      <c r="JGK8" s="36"/>
      <c r="JGL8" s="36"/>
      <c r="JGM8" s="36"/>
      <c r="JGN8" s="36"/>
      <c r="JGO8" s="36"/>
      <c r="JGP8" s="36"/>
      <c r="JGQ8" s="36"/>
      <c r="JGR8" s="36"/>
      <c r="JGS8" s="36"/>
      <c r="JGT8" s="36"/>
      <c r="JGU8" s="36"/>
      <c r="JGV8" s="36"/>
      <c r="JGW8" s="36"/>
      <c r="JGX8" s="36"/>
      <c r="JGY8" s="36"/>
      <c r="JGZ8" s="36"/>
      <c r="JHA8" s="36"/>
      <c r="JHB8" s="36"/>
      <c r="JHC8" s="36"/>
      <c r="JHD8" s="36"/>
      <c r="JHE8" s="36"/>
      <c r="JHF8" s="36"/>
      <c r="JHG8" s="36"/>
      <c r="JHH8" s="36"/>
      <c r="JHI8" s="36"/>
      <c r="JHJ8" s="36"/>
      <c r="JHK8" s="36"/>
      <c r="JHL8" s="36"/>
      <c r="JHM8" s="36"/>
      <c r="JHN8" s="36"/>
      <c r="JHO8" s="36"/>
      <c r="JHP8" s="36"/>
      <c r="JHQ8" s="36"/>
      <c r="JHR8" s="36"/>
      <c r="JHS8" s="36"/>
      <c r="JHT8" s="36"/>
      <c r="JHU8" s="36"/>
      <c r="JHV8" s="36"/>
      <c r="JHW8" s="36"/>
      <c r="JHX8" s="36"/>
      <c r="JHY8" s="36"/>
      <c r="JHZ8" s="36"/>
      <c r="JIA8" s="36"/>
      <c r="JIB8" s="36"/>
      <c r="JIC8" s="36"/>
      <c r="JID8" s="36"/>
      <c r="JIE8" s="36"/>
      <c r="JIF8" s="36"/>
      <c r="JIG8" s="36"/>
      <c r="JIH8" s="36"/>
      <c r="JII8" s="36"/>
      <c r="JIJ8" s="36"/>
      <c r="JIK8" s="36"/>
      <c r="JIL8" s="36"/>
      <c r="JIM8" s="36"/>
      <c r="JIN8" s="36"/>
      <c r="JIO8" s="36"/>
      <c r="JIP8" s="36"/>
      <c r="JIQ8" s="36"/>
      <c r="JIR8" s="36"/>
      <c r="JIS8" s="36"/>
      <c r="JIT8" s="36"/>
      <c r="JIU8" s="36"/>
      <c r="JIV8" s="36"/>
      <c r="JIW8" s="36"/>
      <c r="JIX8" s="36"/>
      <c r="JIY8" s="36"/>
      <c r="JIZ8" s="36"/>
      <c r="JJA8" s="36"/>
      <c r="JJB8" s="36"/>
      <c r="JJC8" s="36"/>
      <c r="JJD8" s="36"/>
      <c r="JJE8" s="36"/>
      <c r="JJF8" s="36"/>
      <c r="JJG8" s="36"/>
      <c r="JJH8" s="36"/>
      <c r="JJI8" s="36"/>
      <c r="JJJ8" s="36"/>
      <c r="JJK8" s="36"/>
      <c r="JJL8" s="36"/>
      <c r="JJM8" s="36"/>
      <c r="JJN8" s="36"/>
      <c r="JJO8" s="36"/>
      <c r="JJP8" s="36"/>
      <c r="JJQ8" s="36"/>
      <c r="JJR8" s="36"/>
      <c r="JJS8" s="36"/>
      <c r="JJT8" s="36"/>
      <c r="JJU8" s="36"/>
      <c r="JJV8" s="36"/>
      <c r="JJW8" s="36"/>
      <c r="JJX8" s="36"/>
      <c r="JJY8" s="36"/>
      <c r="JJZ8" s="36"/>
      <c r="JKA8" s="36"/>
      <c r="JKB8" s="36"/>
      <c r="JKC8" s="36"/>
      <c r="JKD8" s="36"/>
      <c r="JKE8" s="36"/>
      <c r="JKF8" s="36"/>
      <c r="JKG8" s="36"/>
      <c r="JKH8" s="36"/>
      <c r="JKI8" s="36"/>
      <c r="JKJ8" s="36"/>
      <c r="JKK8" s="36"/>
      <c r="JKL8" s="36"/>
      <c r="JKM8" s="36"/>
      <c r="JKN8" s="36"/>
      <c r="JKO8" s="36"/>
      <c r="JKP8" s="36"/>
      <c r="JKQ8" s="36"/>
      <c r="JKR8" s="36"/>
      <c r="JKS8" s="36"/>
      <c r="JKT8" s="36"/>
      <c r="JKU8" s="36"/>
      <c r="JKV8" s="36"/>
      <c r="JKW8" s="36"/>
      <c r="JKX8" s="36"/>
      <c r="JKY8" s="36"/>
      <c r="JKZ8" s="36"/>
      <c r="JLA8" s="36"/>
      <c r="JLB8" s="36"/>
      <c r="JLC8" s="36"/>
      <c r="JLD8" s="36"/>
      <c r="JLE8" s="36"/>
      <c r="JLF8" s="36"/>
      <c r="JLG8" s="36"/>
      <c r="JLH8" s="36"/>
      <c r="JLI8" s="36"/>
      <c r="JLJ8" s="36"/>
      <c r="JLK8" s="36"/>
      <c r="JLL8" s="36"/>
      <c r="JLM8" s="36"/>
      <c r="JLN8" s="36"/>
      <c r="JLO8" s="36"/>
      <c r="JLP8" s="36"/>
      <c r="JLQ8" s="36"/>
      <c r="JLR8" s="36"/>
      <c r="JLS8" s="36"/>
      <c r="JLT8" s="36"/>
      <c r="JLU8" s="36"/>
      <c r="JLV8" s="36"/>
      <c r="JLW8" s="36"/>
      <c r="JLX8" s="36"/>
      <c r="JLY8" s="36"/>
      <c r="JLZ8" s="36"/>
      <c r="JMA8" s="36"/>
      <c r="JMB8" s="36"/>
      <c r="JMC8" s="36"/>
      <c r="JMD8" s="36"/>
      <c r="JME8" s="36"/>
      <c r="JMF8" s="36"/>
      <c r="JMG8" s="36"/>
      <c r="JMH8" s="36"/>
      <c r="JMI8" s="36"/>
      <c r="JMJ8" s="36"/>
      <c r="JMK8" s="36"/>
      <c r="JML8" s="36"/>
      <c r="JMM8" s="36"/>
      <c r="JMN8" s="36"/>
      <c r="JMO8" s="36"/>
      <c r="JMP8" s="36"/>
      <c r="JMQ8" s="36"/>
      <c r="JMR8" s="36"/>
      <c r="JMS8" s="36"/>
      <c r="JMT8" s="36"/>
      <c r="JMU8" s="36"/>
      <c r="JMV8" s="36"/>
      <c r="JMW8" s="36"/>
      <c r="JMX8" s="36"/>
      <c r="JMY8" s="36"/>
      <c r="JMZ8" s="36"/>
      <c r="JNA8" s="36"/>
      <c r="JNB8" s="36"/>
      <c r="JNC8" s="36"/>
      <c r="JND8" s="36"/>
      <c r="JNE8" s="36"/>
      <c r="JNF8" s="36"/>
      <c r="JNG8" s="36"/>
      <c r="JNH8" s="36"/>
      <c r="JNI8" s="36"/>
      <c r="JNJ8" s="36"/>
      <c r="JNK8" s="36"/>
      <c r="JNL8" s="36"/>
      <c r="JNM8" s="36"/>
      <c r="JNN8" s="36"/>
      <c r="JNO8" s="36"/>
      <c r="JNP8" s="36"/>
      <c r="JNQ8" s="36"/>
      <c r="JNR8" s="36"/>
      <c r="JNS8" s="36"/>
      <c r="JNT8" s="36"/>
      <c r="JNU8" s="36"/>
      <c r="JNV8" s="36"/>
      <c r="JNW8" s="36"/>
      <c r="JNX8" s="36"/>
      <c r="JNY8" s="36"/>
      <c r="JNZ8" s="36"/>
      <c r="JOA8" s="36"/>
      <c r="JOB8" s="36"/>
      <c r="JOC8" s="36"/>
      <c r="JOD8" s="36"/>
      <c r="JOE8" s="36"/>
      <c r="JOF8" s="36"/>
      <c r="JOG8" s="36"/>
      <c r="JOH8" s="36"/>
      <c r="JOI8" s="36"/>
      <c r="JOJ8" s="36"/>
      <c r="JOK8" s="36"/>
      <c r="JOL8" s="36"/>
      <c r="JOM8" s="36"/>
      <c r="JON8" s="36"/>
      <c r="JOO8" s="36"/>
      <c r="JOP8" s="36"/>
      <c r="JOQ8" s="36"/>
      <c r="JOR8" s="36"/>
      <c r="JOS8" s="36"/>
      <c r="JOT8" s="36"/>
      <c r="JOU8" s="36"/>
      <c r="JOV8" s="36"/>
      <c r="JOW8" s="36"/>
      <c r="JOX8" s="36"/>
      <c r="JOY8" s="36"/>
      <c r="JOZ8" s="36"/>
      <c r="JPA8" s="36"/>
      <c r="JPB8" s="36"/>
      <c r="JPC8" s="36"/>
      <c r="JPD8" s="36"/>
      <c r="JPE8" s="36"/>
      <c r="JPF8" s="36"/>
      <c r="JPG8" s="36"/>
      <c r="JPH8" s="36"/>
      <c r="JPI8" s="36"/>
      <c r="JPJ8" s="36"/>
      <c r="JPK8" s="36"/>
      <c r="JPL8" s="36"/>
      <c r="JPM8" s="36"/>
      <c r="JPN8" s="36"/>
      <c r="JPO8" s="36"/>
      <c r="JPP8" s="36"/>
      <c r="JPQ8" s="36"/>
      <c r="JPR8" s="36"/>
      <c r="JPS8" s="36"/>
      <c r="JPT8" s="36"/>
      <c r="JPU8" s="36"/>
      <c r="JPV8" s="36"/>
      <c r="JPW8" s="36"/>
      <c r="JPX8" s="36"/>
      <c r="JPY8" s="36"/>
      <c r="JPZ8" s="36"/>
      <c r="JQA8" s="36"/>
      <c r="JQB8" s="36"/>
      <c r="JQC8" s="36"/>
      <c r="JQD8" s="36"/>
      <c r="JQE8" s="36"/>
      <c r="JQF8" s="36"/>
      <c r="JQG8" s="36"/>
      <c r="JQH8" s="36"/>
      <c r="JQI8" s="36"/>
      <c r="JQJ8" s="36"/>
      <c r="JQK8" s="36"/>
      <c r="JQL8" s="36"/>
      <c r="JQM8" s="36"/>
      <c r="JQN8" s="36"/>
      <c r="JQO8" s="36"/>
      <c r="JQP8" s="36"/>
      <c r="JQQ8" s="36"/>
      <c r="JQR8" s="36"/>
      <c r="JQS8" s="36"/>
      <c r="JQT8" s="36"/>
      <c r="JQU8" s="36"/>
      <c r="JQV8" s="36"/>
      <c r="JQW8" s="36"/>
      <c r="JQX8" s="36"/>
      <c r="JQY8" s="36"/>
      <c r="JQZ8" s="36"/>
      <c r="JRA8" s="36"/>
      <c r="JRB8" s="36"/>
      <c r="JRC8" s="36"/>
      <c r="JRD8" s="36"/>
      <c r="JRE8" s="36"/>
      <c r="JRF8" s="36"/>
      <c r="JRG8" s="36"/>
      <c r="JRH8" s="36"/>
      <c r="JRI8" s="36"/>
      <c r="JRJ8" s="36"/>
      <c r="JRK8" s="36"/>
      <c r="JRL8" s="36"/>
      <c r="JRM8" s="36"/>
      <c r="JRN8" s="36"/>
      <c r="JRO8" s="36"/>
      <c r="JRP8" s="36"/>
      <c r="JRQ8" s="36"/>
      <c r="JRR8" s="36"/>
      <c r="JRS8" s="36"/>
      <c r="JRT8" s="36"/>
      <c r="JRU8" s="36"/>
      <c r="JRV8" s="36"/>
      <c r="JRW8" s="36"/>
      <c r="JRX8" s="36"/>
      <c r="JRY8" s="36"/>
      <c r="JRZ8" s="36"/>
      <c r="JSA8" s="36"/>
      <c r="JSB8" s="36"/>
      <c r="JSC8" s="36"/>
      <c r="JSD8" s="36"/>
      <c r="JSE8" s="36"/>
      <c r="JSF8" s="36"/>
      <c r="JSG8" s="36"/>
      <c r="JSH8" s="36"/>
      <c r="JSI8" s="36"/>
      <c r="JSJ8" s="36"/>
      <c r="JSK8" s="36"/>
      <c r="JSL8" s="36"/>
      <c r="JSM8" s="36"/>
      <c r="JSN8" s="36"/>
      <c r="JSO8" s="36"/>
      <c r="JSP8" s="36"/>
      <c r="JSQ8" s="36"/>
      <c r="JSR8" s="36"/>
      <c r="JSS8" s="36"/>
      <c r="JST8" s="36"/>
      <c r="JSU8" s="36"/>
      <c r="JSV8" s="36"/>
      <c r="JSW8" s="36"/>
      <c r="JSX8" s="36"/>
      <c r="JSY8" s="36"/>
      <c r="JSZ8" s="36"/>
      <c r="JTA8" s="36"/>
      <c r="JTB8" s="36"/>
      <c r="JTC8" s="36"/>
      <c r="JTD8" s="36"/>
      <c r="JTE8" s="36"/>
      <c r="JTF8" s="36"/>
      <c r="JTG8" s="36"/>
      <c r="JTH8" s="36"/>
      <c r="JTI8" s="36"/>
      <c r="JTJ8" s="36"/>
      <c r="JTK8" s="36"/>
      <c r="JTL8" s="36"/>
      <c r="JTM8" s="36"/>
      <c r="JTN8" s="36"/>
      <c r="JTO8" s="36"/>
      <c r="JTP8" s="36"/>
      <c r="JTQ8" s="36"/>
      <c r="JTR8" s="36"/>
      <c r="JTS8" s="36"/>
      <c r="JTT8" s="36"/>
      <c r="JTU8" s="36"/>
      <c r="JTV8" s="36"/>
      <c r="JTW8" s="36"/>
      <c r="JTX8" s="36"/>
      <c r="JTY8" s="36"/>
      <c r="JTZ8" s="36"/>
      <c r="JUA8" s="36"/>
      <c r="JUB8" s="36"/>
      <c r="JUC8" s="36"/>
      <c r="JUD8" s="36"/>
      <c r="JUE8" s="36"/>
      <c r="JUF8" s="36"/>
      <c r="JUG8" s="36"/>
      <c r="JUH8" s="36"/>
      <c r="JUI8" s="36"/>
      <c r="JUJ8" s="36"/>
      <c r="JUK8" s="36"/>
      <c r="JUL8" s="36"/>
      <c r="JUM8" s="36"/>
      <c r="JUN8" s="36"/>
      <c r="JUO8" s="36"/>
      <c r="JUP8" s="36"/>
      <c r="JUQ8" s="36"/>
      <c r="JUR8" s="36"/>
      <c r="JUS8" s="36"/>
      <c r="JUT8" s="36"/>
      <c r="JUU8" s="36"/>
      <c r="JUV8" s="36"/>
      <c r="JUW8" s="36"/>
      <c r="JUX8" s="36"/>
      <c r="JUY8" s="36"/>
      <c r="JUZ8" s="36"/>
      <c r="JVA8" s="36"/>
      <c r="JVB8" s="36"/>
      <c r="JVC8" s="36"/>
      <c r="JVD8" s="36"/>
      <c r="JVE8" s="36"/>
      <c r="JVF8" s="36"/>
      <c r="JVG8" s="36"/>
      <c r="JVH8" s="36"/>
      <c r="JVI8" s="36"/>
      <c r="JVJ8" s="36"/>
      <c r="JVK8" s="36"/>
      <c r="JVL8" s="36"/>
      <c r="JVM8" s="36"/>
      <c r="JVN8" s="36"/>
      <c r="JVO8" s="36"/>
      <c r="JVP8" s="36"/>
      <c r="JVQ8" s="36"/>
      <c r="JVR8" s="36"/>
      <c r="JVS8" s="36"/>
      <c r="JVT8" s="36"/>
      <c r="JVU8" s="36"/>
      <c r="JVV8" s="36"/>
      <c r="JVW8" s="36"/>
      <c r="JVX8" s="36"/>
      <c r="JVY8" s="36"/>
      <c r="JVZ8" s="36"/>
      <c r="JWA8" s="36"/>
      <c r="JWB8" s="36"/>
      <c r="JWC8" s="36"/>
      <c r="JWD8" s="36"/>
      <c r="JWE8" s="36"/>
      <c r="JWF8" s="36"/>
      <c r="JWG8" s="36"/>
      <c r="JWH8" s="36"/>
      <c r="JWI8" s="36"/>
      <c r="JWJ8" s="36"/>
      <c r="JWK8" s="36"/>
      <c r="JWL8" s="36"/>
      <c r="JWM8" s="36"/>
      <c r="JWN8" s="36"/>
      <c r="JWO8" s="36"/>
      <c r="JWP8" s="36"/>
      <c r="JWQ8" s="36"/>
      <c r="JWR8" s="36"/>
      <c r="JWS8" s="36"/>
      <c r="JWT8" s="36"/>
      <c r="JWU8" s="36"/>
      <c r="JWV8" s="36"/>
      <c r="JWW8" s="36"/>
      <c r="JWX8" s="36"/>
      <c r="JWY8" s="36"/>
      <c r="JWZ8" s="36"/>
      <c r="JXA8" s="36"/>
      <c r="JXB8" s="36"/>
      <c r="JXC8" s="36"/>
      <c r="JXD8" s="36"/>
      <c r="JXE8" s="36"/>
      <c r="JXF8" s="36"/>
      <c r="JXG8" s="36"/>
      <c r="JXH8" s="36"/>
      <c r="JXI8" s="36"/>
      <c r="JXJ8" s="36"/>
      <c r="JXK8" s="36"/>
      <c r="JXL8" s="36"/>
      <c r="JXM8" s="36"/>
      <c r="JXN8" s="36"/>
      <c r="JXO8" s="36"/>
      <c r="JXP8" s="36"/>
      <c r="JXQ8" s="36"/>
      <c r="JXR8" s="36"/>
      <c r="JXS8" s="36"/>
      <c r="JXT8" s="36"/>
      <c r="JXU8" s="36"/>
      <c r="JXV8" s="36"/>
      <c r="JXW8" s="36"/>
      <c r="JXX8" s="36"/>
      <c r="JXY8" s="36"/>
      <c r="JXZ8" s="36"/>
      <c r="JYA8" s="36"/>
      <c r="JYB8" s="36"/>
      <c r="JYC8" s="36"/>
      <c r="JYD8" s="36"/>
      <c r="JYE8" s="36"/>
      <c r="JYF8" s="36"/>
      <c r="JYG8" s="36"/>
      <c r="JYH8" s="36"/>
      <c r="JYI8" s="36"/>
      <c r="JYJ8" s="36"/>
      <c r="JYK8" s="36"/>
      <c r="JYL8" s="36"/>
      <c r="JYM8" s="36"/>
      <c r="JYN8" s="36"/>
      <c r="JYO8" s="36"/>
      <c r="JYP8" s="36"/>
      <c r="JYQ8" s="36"/>
      <c r="JYR8" s="36"/>
      <c r="JYS8" s="36"/>
      <c r="JYT8" s="36"/>
      <c r="JYU8" s="36"/>
      <c r="JYV8" s="36"/>
      <c r="JYW8" s="36"/>
      <c r="JYX8" s="36"/>
      <c r="JYY8" s="36"/>
      <c r="JYZ8" s="36"/>
      <c r="JZA8" s="36"/>
      <c r="JZB8" s="36"/>
      <c r="JZC8" s="36"/>
      <c r="JZD8" s="36"/>
      <c r="JZE8" s="36"/>
      <c r="JZF8" s="36"/>
      <c r="JZG8" s="36"/>
      <c r="JZH8" s="36"/>
      <c r="JZI8" s="36"/>
      <c r="JZJ8" s="36"/>
      <c r="JZK8" s="36"/>
      <c r="JZL8" s="36"/>
      <c r="JZM8" s="36"/>
      <c r="JZN8" s="36"/>
      <c r="JZO8" s="36"/>
      <c r="JZP8" s="36"/>
      <c r="JZQ8" s="36"/>
      <c r="JZR8" s="36"/>
      <c r="JZS8" s="36"/>
      <c r="JZT8" s="36"/>
      <c r="JZU8" s="36"/>
      <c r="JZV8" s="36"/>
      <c r="JZW8" s="36"/>
      <c r="JZX8" s="36"/>
      <c r="JZY8" s="36"/>
      <c r="JZZ8" s="36"/>
      <c r="KAA8" s="36"/>
      <c r="KAB8" s="36"/>
      <c r="KAC8" s="36"/>
      <c r="KAD8" s="36"/>
      <c r="KAE8" s="36"/>
      <c r="KAF8" s="36"/>
      <c r="KAG8" s="36"/>
      <c r="KAH8" s="36"/>
      <c r="KAI8" s="36"/>
      <c r="KAJ8" s="36"/>
      <c r="KAK8" s="36"/>
      <c r="KAL8" s="36"/>
      <c r="KAM8" s="36"/>
      <c r="KAN8" s="36"/>
      <c r="KAO8" s="36"/>
      <c r="KAP8" s="36"/>
      <c r="KAQ8" s="36"/>
      <c r="KAR8" s="36"/>
      <c r="KAS8" s="36"/>
      <c r="KAT8" s="36"/>
      <c r="KAU8" s="36"/>
      <c r="KAV8" s="36"/>
      <c r="KAW8" s="36"/>
      <c r="KAX8" s="36"/>
      <c r="KAY8" s="36"/>
      <c r="KAZ8" s="36"/>
      <c r="KBA8" s="36"/>
      <c r="KBB8" s="36"/>
      <c r="KBC8" s="36"/>
      <c r="KBD8" s="36"/>
      <c r="KBE8" s="36"/>
      <c r="KBF8" s="36"/>
      <c r="KBG8" s="36"/>
      <c r="KBH8" s="36"/>
      <c r="KBI8" s="36"/>
      <c r="KBJ8" s="36"/>
      <c r="KBK8" s="36"/>
      <c r="KBL8" s="36"/>
      <c r="KBM8" s="36"/>
      <c r="KBN8" s="36"/>
      <c r="KBO8" s="36"/>
      <c r="KBP8" s="36"/>
      <c r="KBQ8" s="36"/>
      <c r="KBR8" s="36"/>
      <c r="KBS8" s="36"/>
      <c r="KBT8" s="36"/>
      <c r="KBU8" s="36"/>
      <c r="KBV8" s="36"/>
      <c r="KBW8" s="36"/>
      <c r="KBX8" s="36"/>
      <c r="KBY8" s="36"/>
      <c r="KBZ8" s="36"/>
      <c r="KCA8" s="36"/>
      <c r="KCB8" s="36"/>
      <c r="KCC8" s="36"/>
      <c r="KCD8" s="36"/>
      <c r="KCE8" s="36"/>
      <c r="KCF8" s="36"/>
      <c r="KCG8" s="36"/>
      <c r="KCH8" s="36"/>
      <c r="KCI8" s="36"/>
      <c r="KCJ8" s="36"/>
      <c r="KCK8" s="36"/>
      <c r="KCL8" s="36"/>
      <c r="KCM8" s="36"/>
      <c r="KCN8" s="36"/>
      <c r="KCO8" s="36"/>
      <c r="KCP8" s="36"/>
      <c r="KCQ8" s="36"/>
      <c r="KCR8" s="36"/>
      <c r="KCS8" s="36"/>
      <c r="KCT8" s="36"/>
      <c r="KCU8" s="36"/>
      <c r="KCV8" s="36"/>
      <c r="KCW8" s="36"/>
      <c r="KCX8" s="36"/>
      <c r="KCY8" s="36"/>
      <c r="KCZ8" s="36"/>
      <c r="KDA8" s="36"/>
      <c r="KDB8" s="36"/>
      <c r="KDC8" s="36"/>
      <c r="KDD8" s="36"/>
      <c r="KDE8" s="36"/>
      <c r="KDF8" s="36"/>
      <c r="KDG8" s="36"/>
      <c r="KDH8" s="36"/>
      <c r="KDI8" s="36"/>
      <c r="KDJ8" s="36"/>
      <c r="KDK8" s="36"/>
      <c r="KDL8" s="36"/>
      <c r="KDM8" s="36"/>
      <c r="KDN8" s="36"/>
      <c r="KDO8" s="36"/>
      <c r="KDP8" s="36"/>
      <c r="KDQ8" s="36"/>
      <c r="KDR8" s="36"/>
      <c r="KDS8" s="36"/>
      <c r="KDT8" s="36"/>
      <c r="KDU8" s="36"/>
      <c r="KDV8" s="36"/>
      <c r="KDW8" s="36"/>
      <c r="KDX8" s="36"/>
      <c r="KDY8" s="36"/>
      <c r="KDZ8" s="36"/>
      <c r="KEA8" s="36"/>
      <c r="KEB8" s="36"/>
      <c r="KEC8" s="36"/>
      <c r="KED8" s="36"/>
      <c r="KEE8" s="36"/>
      <c r="KEF8" s="36"/>
      <c r="KEG8" s="36"/>
      <c r="KEH8" s="36"/>
      <c r="KEI8" s="36"/>
      <c r="KEJ8" s="36"/>
      <c r="KEK8" s="36"/>
      <c r="KEL8" s="36"/>
      <c r="KEM8" s="36"/>
      <c r="KEN8" s="36"/>
      <c r="KEO8" s="36"/>
      <c r="KEP8" s="36"/>
      <c r="KEQ8" s="36"/>
      <c r="KER8" s="36"/>
      <c r="KES8" s="36"/>
      <c r="KET8" s="36"/>
      <c r="KEU8" s="36"/>
      <c r="KEV8" s="36"/>
      <c r="KEW8" s="36"/>
      <c r="KEX8" s="36"/>
      <c r="KEY8" s="36"/>
      <c r="KEZ8" s="36"/>
      <c r="KFA8" s="36"/>
      <c r="KFB8" s="36"/>
      <c r="KFC8" s="36"/>
      <c r="KFD8" s="36"/>
      <c r="KFE8" s="36"/>
      <c r="KFF8" s="36"/>
      <c r="KFG8" s="36"/>
      <c r="KFH8" s="36"/>
      <c r="KFI8" s="36"/>
      <c r="KFJ8" s="36"/>
      <c r="KFK8" s="36"/>
      <c r="KFL8" s="36"/>
      <c r="KFM8" s="36"/>
      <c r="KFN8" s="36"/>
      <c r="KFO8" s="36"/>
      <c r="KFP8" s="36"/>
      <c r="KFQ8" s="36"/>
      <c r="KFR8" s="36"/>
      <c r="KFS8" s="36"/>
      <c r="KFT8" s="36"/>
      <c r="KFU8" s="36"/>
      <c r="KFV8" s="36"/>
      <c r="KFW8" s="36"/>
      <c r="KFX8" s="36"/>
      <c r="KFY8" s="36"/>
      <c r="KFZ8" s="36"/>
      <c r="KGA8" s="36"/>
      <c r="KGB8" s="36"/>
      <c r="KGC8" s="36"/>
      <c r="KGD8" s="36"/>
      <c r="KGE8" s="36"/>
      <c r="KGF8" s="36"/>
      <c r="KGG8" s="36"/>
      <c r="KGH8" s="36"/>
      <c r="KGI8" s="36"/>
      <c r="KGJ8" s="36"/>
      <c r="KGK8" s="36"/>
      <c r="KGL8" s="36"/>
      <c r="KGM8" s="36"/>
      <c r="KGN8" s="36"/>
      <c r="KGO8" s="36"/>
      <c r="KGP8" s="36"/>
      <c r="KGQ8" s="36"/>
      <c r="KGR8" s="36"/>
      <c r="KGS8" s="36"/>
      <c r="KGT8" s="36"/>
      <c r="KGU8" s="36"/>
      <c r="KGV8" s="36"/>
      <c r="KGW8" s="36"/>
      <c r="KGX8" s="36"/>
      <c r="KGY8" s="36"/>
      <c r="KGZ8" s="36"/>
      <c r="KHA8" s="36"/>
      <c r="KHB8" s="36"/>
      <c r="KHC8" s="36"/>
      <c r="KHD8" s="36"/>
      <c r="KHE8" s="36"/>
      <c r="KHF8" s="36"/>
      <c r="KHG8" s="36"/>
      <c r="KHH8" s="36"/>
      <c r="KHI8" s="36"/>
      <c r="KHJ8" s="36"/>
      <c r="KHK8" s="36"/>
      <c r="KHL8" s="36"/>
      <c r="KHM8" s="36"/>
      <c r="KHN8" s="36"/>
      <c r="KHO8" s="36"/>
      <c r="KHP8" s="36"/>
      <c r="KHQ8" s="36"/>
      <c r="KHR8" s="36"/>
      <c r="KHS8" s="36"/>
      <c r="KHT8" s="36"/>
      <c r="KHU8" s="36"/>
      <c r="KHV8" s="36"/>
      <c r="KHW8" s="36"/>
      <c r="KHX8" s="36"/>
      <c r="KHY8" s="36"/>
      <c r="KHZ8" s="36"/>
      <c r="KIA8" s="36"/>
      <c r="KIB8" s="36"/>
      <c r="KIC8" s="36"/>
      <c r="KID8" s="36"/>
      <c r="KIE8" s="36"/>
      <c r="KIF8" s="36"/>
      <c r="KIG8" s="36"/>
      <c r="KIH8" s="36"/>
      <c r="KII8" s="36"/>
      <c r="KIJ8" s="36"/>
      <c r="KIK8" s="36"/>
      <c r="KIL8" s="36"/>
      <c r="KIM8" s="36"/>
      <c r="KIN8" s="36"/>
      <c r="KIO8" s="36"/>
      <c r="KIP8" s="36"/>
      <c r="KIQ8" s="36"/>
      <c r="KIR8" s="36"/>
      <c r="KIS8" s="36"/>
      <c r="KIT8" s="36"/>
      <c r="KIU8" s="36"/>
      <c r="KIV8" s="36"/>
      <c r="KIW8" s="36"/>
      <c r="KIX8" s="36"/>
      <c r="KIY8" s="36"/>
      <c r="KIZ8" s="36"/>
      <c r="KJA8" s="36"/>
      <c r="KJB8" s="36"/>
      <c r="KJC8" s="36"/>
      <c r="KJD8" s="36"/>
      <c r="KJE8" s="36"/>
      <c r="KJF8" s="36"/>
      <c r="KJG8" s="36"/>
      <c r="KJH8" s="36"/>
      <c r="KJI8" s="36"/>
      <c r="KJJ8" s="36"/>
      <c r="KJK8" s="36"/>
      <c r="KJL8" s="36"/>
      <c r="KJM8" s="36"/>
      <c r="KJN8" s="36"/>
      <c r="KJO8" s="36"/>
      <c r="KJP8" s="36"/>
      <c r="KJQ8" s="36"/>
      <c r="KJR8" s="36"/>
      <c r="KJS8" s="36"/>
      <c r="KJT8" s="36"/>
      <c r="KJU8" s="36"/>
      <c r="KJV8" s="36"/>
      <c r="KJW8" s="36"/>
      <c r="KJX8" s="36"/>
      <c r="KJY8" s="36"/>
      <c r="KJZ8" s="36"/>
      <c r="KKA8" s="36"/>
      <c r="KKB8" s="36"/>
      <c r="KKC8" s="36"/>
      <c r="KKD8" s="36"/>
      <c r="KKE8" s="36"/>
      <c r="KKF8" s="36"/>
      <c r="KKG8" s="36"/>
      <c r="KKH8" s="36"/>
      <c r="KKI8" s="36"/>
      <c r="KKJ8" s="36"/>
      <c r="KKK8" s="36"/>
      <c r="KKL8" s="36"/>
      <c r="KKM8" s="36"/>
      <c r="KKN8" s="36"/>
      <c r="KKO8" s="36"/>
      <c r="KKP8" s="36"/>
      <c r="KKQ8" s="36"/>
      <c r="KKR8" s="36"/>
      <c r="KKS8" s="36"/>
      <c r="KKT8" s="36"/>
      <c r="KKU8" s="36"/>
      <c r="KKV8" s="36"/>
      <c r="KKW8" s="36"/>
      <c r="KKX8" s="36"/>
      <c r="KKY8" s="36"/>
      <c r="KKZ8" s="36"/>
      <c r="KLA8" s="36"/>
      <c r="KLB8" s="36"/>
      <c r="KLC8" s="36"/>
      <c r="KLD8" s="36"/>
      <c r="KLE8" s="36"/>
      <c r="KLF8" s="36"/>
      <c r="KLG8" s="36"/>
      <c r="KLH8" s="36"/>
      <c r="KLI8" s="36"/>
      <c r="KLJ8" s="36"/>
      <c r="KLK8" s="36"/>
      <c r="KLL8" s="36"/>
      <c r="KLM8" s="36"/>
      <c r="KLN8" s="36"/>
      <c r="KLO8" s="36"/>
      <c r="KLP8" s="36"/>
      <c r="KLQ8" s="36"/>
      <c r="KLR8" s="36"/>
      <c r="KLS8" s="36"/>
      <c r="KLT8" s="36"/>
      <c r="KLU8" s="36"/>
      <c r="KLV8" s="36"/>
      <c r="KLW8" s="36"/>
      <c r="KLX8" s="36"/>
      <c r="KLY8" s="36"/>
      <c r="KLZ8" s="36"/>
      <c r="KMA8" s="36"/>
      <c r="KMB8" s="36"/>
      <c r="KMC8" s="36"/>
      <c r="KMD8" s="36"/>
      <c r="KME8" s="36"/>
      <c r="KMF8" s="36"/>
      <c r="KMG8" s="36"/>
      <c r="KMH8" s="36"/>
      <c r="KMI8" s="36"/>
      <c r="KMJ8" s="36"/>
      <c r="KMK8" s="36"/>
      <c r="KML8" s="36"/>
      <c r="KMM8" s="36"/>
      <c r="KMN8" s="36"/>
      <c r="KMO8" s="36"/>
      <c r="KMP8" s="36"/>
      <c r="KMQ8" s="36"/>
      <c r="KMR8" s="36"/>
      <c r="KMS8" s="36"/>
      <c r="KMT8" s="36"/>
      <c r="KMU8" s="36"/>
      <c r="KMV8" s="36"/>
      <c r="KMW8" s="36"/>
      <c r="KMX8" s="36"/>
      <c r="KMY8" s="36"/>
      <c r="KMZ8" s="36"/>
      <c r="KNA8" s="36"/>
      <c r="KNB8" s="36"/>
      <c r="KNC8" s="36"/>
      <c r="KND8" s="36"/>
      <c r="KNE8" s="36"/>
      <c r="KNF8" s="36"/>
      <c r="KNG8" s="36"/>
      <c r="KNH8" s="36"/>
      <c r="KNI8" s="36"/>
      <c r="KNJ8" s="36"/>
      <c r="KNK8" s="36"/>
      <c r="KNL8" s="36"/>
      <c r="KNM8" s="36"/>
      <c r="KNN8" s="36"/>
      <c r="KNO8" s="36"/>
      <c r="KNP8" s="36"/>
      <c r="KNQ8" s="36"/>
      <c r="KNR8" s="36"/>
      <c r="KNS8" s="36"/>
      <c r="KNT8" s="36"/>
      <c r="KNU8" s="36"/>
      <c r="KNV8" s="36"/>
      <c r="KNW8" s="36"/>
      <c r="KNX8" s="36"/>
      <c r="KNY8" s="36"/>
      <c r="KNZ8" s="36"/>
      <c r="KOA8" s="36"/>
      <c r="KOB8" s="36"/>
      <c r="KOC8" s="36"/>
      <c r="KOD8" s="36"/>
      <c r="KOE8" s="36"/>
      <c r="KOF8" s="36"/>
      <c r="KOG8" s="36"/>
      <c r="KOH8" s="36"/>
      <c r="KOI8" s="36"/>
      <c r="KOJ8" s="36"/>
      <c r="KOK8" s="36"/>
      <c r="KOL8" s="36"/>
      <c r="KOM8" s="36"/>
      <c r="KON8" s="36"/>
      <c r="KOO8" s="36"/>
      <c r="KOP8" s="36"/>
      <c r="KOQ8" s="36"/>
      <c r="KOR8" s="36"/>
      <c r="KOS8" s="36"/>
      <c r="KOT8" s="36"/>
      <c r="KOU8" s="36"/>
      <c r="KOV8" s="36"/>
      <c r="KOW8" s="36"/>
      <c r="KOX8" s="36"/>
      <c r="KOY8" s="36"/>
      <c r="KOZ8" s="36"/>
      <c r="KPA8" s="36"/>
      <c r="KPB8" s="36"/>
      <c r="KPC8" s="36"/>
      <c r="KPD8" s="36"/>
      <c r="KPE8" s="36"/>
      <c r="KPF8" s="36"/>
      <c r="KPG8" s="36"/>
      <c r="KPH8" s="36"/>
      <c r="KPI8" s="36"/>
      <c r="KPJ8" s="36"/>
      <c r="KPK8" s="36"/>
      <c r="KPL8" s="36"/>
      <c r="KPM8" s="36"/>
      <c r="KPN8" s="36"/>
      <c r="KPO8" s="36"/>
      <c r="KPP8" s="36"/>
      <c r="KPQ8" s="36"/>
      <c r="KPR8" s="36"/>
      <c r="KPS8" s="36"/>
      <c r="KPT8" s="36"/>
      <c r="KPU8" s="36"/>
      <c r="KPV8" s="36"/>
      <c r="KPW8" s="36"/>
      <c r="KPX8" s="36"/>
      <c r="KPY8" s="36"/>
      <c r="KPZ8" s="36"/>
      <c r="KQA8" s="36"/>
      <c r="KQB8" s="36"/>
      <c r="KQC8" s="36"/>
      <c r="KQD8" s="36"/>
      <c r="KQE8" s="36"/>
      <c r="KQF8" s="36"/>
      <c r="KQG8" s="36"/>
      <c r="KQH8" s="36"/>
      <c r="KQI8" s="36"/>
      <c r="KQJ8" s="36"/>
      <c r="KQK8" s="36"/>
      <c r="KQL8" s="36"/>
      <c r="KQM8" s="36"/>
      <c r="KQN8" s="36"/>
      <c r="KQO8" s="36"/>
      <c r="KQP8" s="36"/>
      <c r="KQQ8" s="36"/>
      <c r="KQR8" s="36"/>
      <c r="KQS8" s="36"/>
      <c r="KQT8" s="36"/>
      <c r="KQU8" s="36"/>
      <c r="KQV8" s="36"/>
      <c r="KQW8" s="36"/>
      <c r="KQX8" s="36"/>
      <c r="KQY8" s="36"/>
      <c r="KQZ8" s="36"/>
      <c r="KRA8" s="36"/>
      <c r="KRB8" s="36"/>
      <c r="KRC8" s="36"/>
      <c r="KRD8" s="36"/>
      <c r="KRE8" s="36"/>
      <c r="KRF8" s="36"/>
      <c r="KRG8" s="36"/>
      <c r="KRH8" s="36"/>
      <c r="KRI8" s="36"/>
      <c r="KRJ8" s="36"/>
      <c r="KRK8" s="36"/>
      <c r="KRL8" s="36"/>
      <c r="KRM8" s="36"/>
      <c r="KRN8" s="36"/>
      <c r="KRO8" s="36"/>
      <c r="KRP8" s="36"/>
      <c r="KRQ8" s="36"/>
      <c r="KRR8" s="36"/>
      <c r="KRS8" s="36"/>
      <c r="KRT8" s="36"/>
      <c r="KRU8" s="36"/>
      <c r="KRV8" s="36"/>
      <c r="KRW8" s="36"/>
      <c r="KRX8" s="36"/>
      <c r="KRY8" s="36"/>
      <c r="KRZ8" s="36"/>
      <c r="KSA8" s="36"/>
      <c r="KSB8" s="36"/>
      <c r="KSC8" s="36"/>
      <c r="KSD8" s="36"/>
      <c r="KSE8" s="36"/>
      <c r="KSF8" s="36"/>
      <c r="KSG8" s="36"/>
      <c r="KSH8" s="36"/>
      <c r="KSI8" s="36"/>
      <c r="KSJ8" s="36"/>
      <c r="KSK8" s="36"/>
      <c r="KSL8" s="36"/>
      <c r="KSM8" s="36"/>
      <c r="KSN8" s="36"/>
      <c r="KSO8" s="36"/>
      <c r="KSP8" s="36"/>
      <c r="KSQ8" s="36"/>
      <c r="KSR8" s="36"/>
      <c r="KSS8" s="36"/>
      <c r="KST8" s="36"/>
      <c r="KSU8" s="36"/>
      <c r="KSV8" s="36"/>
      <c r="KSW8" s="36"/>
      <c r="KSX8" s="36"/>
      <c r="KSY8" s="36"/>
      <c r="KSZ8" s="36"/>
      <c r="KTA8" s="36"/>
      <c r="KTB8" s="36"/>
      <c r="KTC8" s="36"/>
      <c r="KTD8" s="36"/>
      <c r="KTE8" s="36"/>
      <c r="KTF8" s="36"/>
      <c r="KTG8" s="36"/>
      <c r="KTH8" s="36"/>
      <c r="KTI8" s="36"/>
      <c r="KTJ8" s="36"/>
      <c r="KTK8" s="36"/>
      <c r="KTL8" s="36"/>
      <c r="KTM8" s="36"/>
      <c r="KTN8" s="36"/>
      <c r="KTO8" s="36"/>
      <c r="KTP8" s="36"/>
      <c r="KTQ8" s="36"/>
      <c r="KTR8" s="36"/>
      <c r="KTS8" s="36"/>
      <c r="KTT8" s="36"/>
      <c r="KTU8" s="36"/>
      <c r="KTV8" s="36"/>
      <c r="KTW8" s="36"/>
      <c r="KTX8" s="36"/>
      <c r="KTY8" s="36"/>
      <c r="KTZ8" s="36"/>
      <c r="KUA8" s="36"/>
      <c r="KUB8" s="36"/>
      <c r="KUC8" s="36"/>
      <c r="KUD8" s="36"/>
      <c r="KUE8" s="36"/>
      <c r="KUF8" s="36"/>
      <c r="KUG8" s="36"/>
      <c r="KUH8" s="36"/>
      <c r="KUI8" s="36"/>
      <c r="KUJ8" s="36"/>
      <c r="KUK8" s="36"/>
      <c r="KUL8" s="36"/>
      <c r="KUM8" s="36"/>
      <c r="KUN8" s="36"/>
      <c r="KUO8" s="36"/>
      <c r="KUP8" s="36"/>
      <c r="KUQ8" s="36"/>
      <c r="KUR8" s="36"/>
      <c r="KUS8" s="36"/>
      <c r="KUT8" s="36"/>
      <c r="KUU8" s="36"/>
      <c r="KUV8" s="36"/>
      <c r="KUW8" s="36"/>
      <c r="KUX8" s="36"/>
      <c r="KUY8" s="36"/>
      <c r="KUZ8" s="36"/>
      <c r="KVA8" s="36"/>
      <c r="KVB8" s="36"/>
      <c r="KVC8" s="36"/>
      <c r="KVD8" s="36"/>
      <c r="KVE8" s="36"/>
      <c r="KVF8" s="36"/>
      <c r="KVG8" s="36"/>
      <c r="KVH8" s="36"/>
      <c r="KVI8" s="36"/>
      <c r="KVJ8" s="36"/>
      <c r="KVK8" s="36"/>
      <c r="KVL8" s="36"/>
      <c r="KVM8" s="36"/>
      <c r="KVN8" s="36"/>
      <c r="KVO8" s="36"/>
      <c r="KVP8" s="36"/>
      <c r="KVQ8" s="36"/>
      <c r="KVR8" s="36"/>
      <c r="KVS8" s="36"/>
      <c r="KVT8" s="36"/>
      <c r="KVU8" s="36"/>
      <c r="KVV8" s="36"/>
      <c r="KVW8" s="36"/>
      <c r="KVX8" s="36"/>
      <c r="KVY8" s="36"/>
      <c r="KVZ8" s="36"/>
      <c r="KWA8" s="36"/>
      <c r="KWB8" s="36"/>
      <c r="KWC8" s="36"/>
      <c r="KWD8" s="36"/>
      <c r="KWE8" s="36"/>
      <c r="KWF8" s="36"/>
      <c r="KWG8" s="36"/>
      <c r="KWH8" s="36"/>
      <c r="KWI8" s="36"/>
      <c r="KWJ8" s="36"/>
      <c r="KWK8" s="36"/>
      <c r="KWL8" s="36"/>
      <c r="KWM8" s="36"/>
      <c r="KWN8" s="36"/>
      <c r="KWO8" s="36"/>
      <c r="KWP8" s="36"/>
      <c r="KWQ8" s="36"/>
      <c r="KWR8" s="36"/>
      <c r="KWS8" s="36"/>
      <c r="KWT8" s="36"/>
      <c r="KWU8" s="36"/>
      <c r="KWV8" s="36"/>
      <c r="KWW8" s="36"/>
      <c r="KWX8" s="36"/>
      <c r="KWY8" s="36"/>
      <c r="KWZ8" s="36"/>
      <c r="KXA8" s="36"/>
      <c r="KXB8" s="36"/>
      <c r="KXC8" s="36"/>
      <c r="KXD8" s="36"/>
      <c r="KXE8" s="36"/>
      <c r="KXF8" s="36"/>
      <c r="KXG8" s="36"/>
      <c r="KXH8" s="36"/>
      <c r="KXI8" s="36"/>
      <c r="KXJ8" s="36"/>
      <c r="KXK8" s="36"/>
      <c r="KXL8" s="36"/>
      <c r="KXM8" s="36"/>
      <c r="KXN8" s="36"/>
      <c r="KXO8" s="36"/>
      <c r="KXP8" s="36"/>
      <c r="KXQ8" s="36"/>
      <c r="KXR8" s="36"/>
      <c r="KXS8" s="36"/>
      <c r="KXT8" s="36"/>
      <c r="KXU8" s="36"/>
      <c r="KXV8" s="36"/>
      <c r="KXW8" s="36"/>
      <c r="KXX8" s="36"/>
      <c r="KXY8" s="36"/>
      <c r="KXZ8" s="36"/>
      <c r="KYA8" s="36"/>
      <c r="KYB8" s="36"/>
      <c r="KYC8" s="36"/>
      <c r="KYD8" s="36"/>
      <c r="KYE8" s="36"/>
      <c r="KYF8" s="36"/>
      <c r="KYG8" s="36"/>
      <c r="KYH8" s="36"/>
      <c r="KYI8" s="36"/>
      <c r="KYJ8" s="36"/>
      <c r="KYK8" s="36"/>
      <c r="KYL8" s="36"/>
      <c r="KYM8" s="36"/>
      <c r="KYN8" s="36"/>
      <c r="KYO8" s="36"/>
      <c r="KYP8" s="36"/>
      <c r="KYQ8" s="36"/>
      <c r="KYR8" s="36"/>
      <c r="KYS8" s="36"/>
      <c r="KYT8" s="36"/>
      <c r="KYU8" s="36"/>
      <c r="KYV8" s="36"/>
      <c r="KYW8" s="36"/>
      <c r="KYX8" s="36"/>
      <c r="KYY8" s="36"/>
      <c r="KYZ8" s="36"/>
      <c r="KZA8" s="36"/>
      <c r="KZB8" s="36"/>
      <c r="KZC8" s="36"/>
      <c r="KZD8" s="36"/>
      <c r="KZE8" s="36"/>
      <c r="KZF8" s="36"/>
      <c r="KZG8" s="36"/>
      <c r="KZH8" s="36"/>
      <c r="KZI8" s="36"/>
      <c r="KZJ8" s="36"/>
      <c r="KZK8" s="36"/>
      <c r="KZL8" s="36"/>
      <c r="KZM8" s="36"/>
      <c r="KZN8" s="36"/>
      <c r="KZO8" s="36"/>
      <c r="KZP8" s="36"/>
      <c r="KZQ8" s="36"/>
      <c r="KZR8" s="36"/>
      <c r="KZS8" s="36"/>
      <c r="KZT8" s="36"/>
      <c r="KZU8" s="36"/>
      <c r="KZV8" s="36"/>
      <c r="KZW8" s="36"/>
      <c r="KZX8" s="36"/>
      <c r="KZY8" s="36"/>
      <c r="KZZ8" s="36"/>
      <c r="LAA8" s="36"/>
      <c r="LAB8" s="36"/>
      <c r="LAC8" s="36"/>
      <c r="LAD8" s="36"/>
      <c r="LAE8" s="36"/>
      <c r="LAF8" s="36"/>
      <c r="LAG8" s="36"/>
      <c r="LAH8" s="36"/>
      <c r="LAI8" s="36"/>
      <c r="LAJ8" s="36"/>
      <c r="LAK8" s="36"/>
      <c r="LAL8" s="36"/>
      <c r="LAM8" s="36"/>
      <c r="LAN8" s="36"/>
      <c r="LAO8" s="36"/>
      <c r="LAP8" s="36"/>
      <c r="LAQ8" s="36"/>
      <c r="LAR8" s="36"/>
      <c r="LAS8" s="36"/>
      <c r="LAT8" s="36"/>
      <c r="LAU8" s="36"/>
      <c r="LAV8" s="36"/>
      <c r="LAW8" s="36"/>
      <c r="LAX8" s="36"/>
      <c r="LAY8" s="36"/>
      <c r="LAZ8" s="36"/>
      <c r="LBA8" s="36"/>
      <c r="LBB8" s="36"/>
      <c r="LBC8" s="36"/>
      <c r="LBD8" s="36"/>
      <c r="LBE8" s="36"/>
      <c r="LBF8" s="36"/>
      <c r="LBG8" s="36"/>
      <c r="LBH8" s="36"/>
      <c r="LBI8" s="36"/>
      <c r="LBJ8" s="36"/>
      <c r="LBK8" s="36"/>
      <c r="LBL8" s="36"/>
      <c r="LBM8" s="36"/>
      <c r="LBN8" s="36"/>
      <c r="LBO8" s="36"/>
      <c r="LBP8" s="36"/>
      <c r="LBQ8" s="36"/>
      <c r="LBR8" s="36"/>
      <c r="LBS8" s="36"/>
      <c r="LBT8" s="36"/>
      <c r="LBU8" s="36"/>
      <c r="LBV8" s="36"/>
      <c r="LBW8" s="36"/>
      <c r="LBX8" s="36"/>
      <c r="LBY8" s="36"/>
      <c r="LBZ8" s="36"/>
      <c r="LCA8" s="36"/>
      <c r="LCB8" s="36"/>
      <c r="LCC8" s="36"/>
      <c r="LCD8" s="36"/>
      <c r="LCE8" s="36"/>
      <c r="LCF8" s="36"/>
      <c r="LCG8" s="36"/>
      <c r="LCH8" s="36"/>
      <c r="LCI8" s="36"/>
      <c r="LCJ8" s="36"/>
      <c r="LCK8" s="36"/>
      <c r="LCL8" s="36"/>
      <c r="LCM8" s="36"/>
      <c r="LCN8" s="36"/>
      <c r="LCO8" s="36"/>
      <c r="LCP8" s="36"/>
      <c r="LCQ8" s="36"/>
      <c r="LCR8" s="36"/>
      <c r="LCS8" s="36"/>
      <c r="LCT8" s="36"/>
      <c r="LCU8" s="36"/>
      <c r="LCV8" s="36"/>
      <c r="LCW8" s="36"/>
      <c r="LCX8" s="36"/>
      <c r="LCY8" s="36"/>
      <c r="LCZ8" s="36"/>
      <c r="LDA8" s="36"/>
      <c r="LDB8" s="36"/>
      <c r="LDC8" s="36"/>
      <c r="LDD8" s="36"/>
      <c r="LDE8" s="36"/>
      <c r="LDF8" s="36"/>
      <c r="LDG8" s="36"/>
      <c r="LDH8" s="36"/>
      <c r="LDI8" s="36"/>
      <c r="LDJ8" s="36"/>
      <c r="LDK8" s="36"/>
      <c r="LDL8" s="36"/>
      <c r="LDM8" s="36"/>
      <c r="LDN8" s="36"/>
      <c r="LDO8" s="36"/>
      <c r="LDP8" s="36"/>
      <c r="LDQ8" s="36"/>
      <c r="LDR8" s="36"/>
      <c r="LDS8" s="36"/>
      <c r="LDT8" s="36"/>
      <c r="LDU8" s="36"/>
      <c r="LDV8" s="36"/>
      <c r="LDW8" s="36"/>
      <c r="LDX8" s="36"/>
      <c r="LDY8" s="36"/>
      <c r="LDZ8" s="36"/>
      <c r="LEA8" s="36"/>
      <c r="LEB8" s="36"/>
      <c r="LEC8" s="36"/>
      <c r="LED8" s="36"/>
      <c r="LEE8" s="36"/>
      <c r="LEF8" s="36"/>
      <c r="LEG8" s="36"/>
      <c r="LEH8" s="36"/>
      <c r="LEI8" s="36"/>
      <c r="LEJ8" s="36"/>
      <c r="LEK8" s="36"/>
      <c r="LEL8" s="36"/>
      <c r="LEM8" s="36"/>
      <c r="LEN8" s="36"/>
      <c r="LEO8" s="36"/>
      <c r="LEP8" s="36"/>
      <c r="LEQ8" s="36"/>
      <c r="LER8" s="36"/>
      <c r="LES8" s="36"/>
      <c r="LET8" s="36"/>
      <c r="LEU8" s="36"/>
      <c r="LEV8" s="36"/>
      <c r="LEW8" s="36"/>
      <c r="LEX8" s="36"/>
      <c r="LEY8" s="36"/>
      <c r="LEZ8" s="36"/>
      <c r="LFA8" s="36"/>
      <c r="LFB8" s="36"/>
      <c r="LFC8" s="36"/>
      <c r="LFD8" s="36"/>
      <c r="LFE8" s="36"/>
      <c r="LFF8" s="36"/>
      <c r="LFG8" s="36"/>
      <c r="LFH8" s="36"/>
      <c r="LFI8" s="36"/>
      <c r="LFJ8" s="36"/>
      <c r="LFK8" s="36"/>
      <c r="LFL8" s="36"/>
      <c r="LFM8" s="36"/>
      <c r="LFN8" s="36"/>
      <c r="LFO8" s="36"/>
      <c r="LFP8" s="36"/>
      <c r="LFQ8" s="36"/>
      <c r="LFR8" s="36"/>
      <c r="LFS8" s="36"/>
      <c r="LFT8" s="36"/>
      <c r="LFU8" s="36"/>
      <c r="LFV8" s="36"/>
      <c r="LFW8" s="36"/>
      <c r="LFX8" s="36"/>
      <c r="LFY8" s="36"/>
      <c r="LFZ8" s="36"/>
      <c r="LGA8" s="36"/>
      <c r="LGB8" s="36"/>
      <c r="LGC8" s="36"/>
      <c r="LGD8" s="36"/>
      <c r="LGE8" s="36"/>
      <c r="LGF8" s="36"/>
      <c r="LGG8" s="36"/>
      <c r="LGH8" s="36"/>
      <c r="LGI8" s="36"/>
      <c r="LGJ8" s="36"/>
      <c r="LGK8" s="36"/>
      <c r="LGL8" s="36"/>
      <c r="LGM8" s="36"/>
      <c r="LGN8" s="36"/>
      <c r="LGO8" s="36"/>
      <c r="LGP8" s="36"/>
      <c r="LGQ8" s="36"/>
      <c r="LGR8" s="36"/>
      <c r="LGS8" s="36"/>
      <c r="LGT8" s="36"/>
      <c r="LGU8" s="36"/>
      <c r="LGV8" s="36"/>
      <c r="LGW8" s="36"/>
      <c r="LGX8" s="36"/>
      <c r="LGY8" s="36"/>
      <c r="LGZ8" s="36"/>
      <c r="LHA8" s="36"/>
      <c r="LHB8" s="36"/>
      <c r="LHC8" s="36"/>
      <c r="LHD8" s="36"/>
      <c r="LHE8" s="36"/>
      <c r="LHF8" s="36"/>
      <c r="LHG8" s="36"/>
      <c r="LHH8" s="36"/>
      <c r="LHI8" s="36"/>
      <c r="LHJ8" s="36"/>
      <c r="LHK8" s="36"/>
      <c r="LHL8" s="36"/>
      <c r="LHM8" s="36"/>
      <c r="LHN8" s="36"/>
      <c r="LHO8" s="36"/>
      <c r="LHP8" s="36"/>
      <c r="LHQ8" s="36"/>
      <c r="LHR8" s="36"/>
      <c r="LHS8" s="36"/>
      <c r="LHT8" s="36"/>
      <c r="LHU8" s="36"/>
      <c r="LHV8" s="36"/>
      <c r="LHW8" s="36"/>
      <c r="LHX8" s="36"/>
      <c r="LHY8" s="36"/>
      <c r="LHZ8" s="36"/>
      <c r="LIA8" s="36"/>
      <c r="LIB8" s="36"/>
      <c r="LIC8" s="36"/>
      <c r="LID8" s="36"/>
      <c r="LIE8" s="36"/>
      <c r="LIF8" s="36"/>
      <c r="LIG8" s="36"/>
      <c r="LIH8" s="36"/>
      <c r="LII8" s="36"/>
      <c r="LIJ8" s="36"/>
      <c r="LIK8" s="36"/>
      <c r="LIL8" s="36"/>
      <c r="LIM8" s="36"/>
      <c r="LIN8" s="36"/>
      <c r="LIO8" s="36"/>
      <c r="LIP8" s="36"/>
      <c r="LIQ8" s="36"/>
      <c r="LIR8" s="36"/>
      <c r="LIS8" s="36"/>
      <c r="LIT8" s="36"/>
      <c r="LIU8" s="36"/>
      <c r="LIV8" s="36"/>
      <c r="LIW8" s="36"/>
      <c r="LIX8" s="36"/>
      <c r="LIY8" s="36"/>
      <c r="LIZ8" s="36"/>
      <c r="LJA8" s="36"/>
      <c r="LJB8" s="36"/>
      <c r="LJC8" s="36"/>
      <c r="LJD8" s="36"/>
      <c r="LJE8" s="36"/>
      <c r="LJF8" s="36"/>
      <c r="LJG8" s="36"/>
      <c r="LJH8" s="36"/>
      <c r="LJI8" s="36"/>
      <c r="LJJ8" s="36"/>
      <c r="LJK8" s="36"/>
      <c r="LJL8" s="36"/>
      <c r="LJM8" s="36"/>
      <c r="LJN8" s="36"/>
      <c r="LJO8" s="36"/>
      <c r="LJP8" s="36"/>
      <c r="LJQ8" s="36"/>
      <c r="LJR8" s="36"/>
      <c r="LJS8" s="36"/>
      <c r="LJT8" s="36"/>
      <c r="LJU8" s="36"/>
      <c r="LJV8" s="36"/>
      <c r="LJW8" s="36"/>
      <c r="LJX8" s="36"/>
      <c r="LJY8" s="36"/>
      <c r="LJZ8" s="36"/>
      <c r="LKA8" s="36"/>
      <c r="LKB8" s="36"/>
      <c r="LKC8" s="36"/>
      <c r="LKD8" s="36"/>
      <c r="LKE8" s="36"/>
      <c r="LKF8" s="36"/>
      <c r="LKG8" s="36"/>
      <c r="LKH8" s="36"/>
      <c r="LKI8" s="36"/>
      <c r="LKJ8" s="36"/>
      <c r="LKK8" s="36"/>
      <c r="LKL8" s="36"/>
      <c r="LKM8" s="36"/>
      <c r="LKN8" s="36"/>
      <c r="LKO8" s="36"/>
      <c r="LKP8" s="36"/>
      <c r="LKQ8" s="36"/>
      <c r="LKR8" s="36"/>
      <c r="LKS8" s="36"/>
      <c r="LKT8" s="36"/>
      <c r="LKU8" s="36"/>
      <c r="LKV8" s="36"/>
      <c r="LKW8" s="36"/>
      <c r="LKX8" s="36"/>
      <c r="LKY8" s="36"/>
      <c r="LKZ8" s="36"/>
      <c r="LLA8" s="36"/>
      <c r="LLB8" s="36"/>
      <c r="LLC8" s="36"/>
      <c r="LLD8" s="36"/>
      <c r="LLE8" s="36"/>
      <c r="LLF8" s="36"/>
      <c r="LLG8" s="36"/>
      <c r="LLH8" s="36"/>
      <c r="LLI8" s="36"/>
      <c r="LLJ8" s="36"/>
      <c r="LLK8" s="36"/>
      <c r="LLL8" s="36"/>
      <c r="LLM8" s="36"/>
      <c r="LLN8" s="36"/>
      <c r="LLO8" s="36"/>
      <c r="LLP8" s="36"/>
      <c r="LLQ8" s="36"/>
      <c r="LLR8" s="36"/>
      <c r="LLS8" s="36"/>
      <c r="LLT8" s="36"/>
      <c r="LLU8" s="36"/>
      <c r="LLV8" s="36"/>
      <c r="LLW8" s="36"/>
      <c r="LLX8" s="36"/>
      <c r="LLY8" s="36"/>
      <c r="LLZ8" s="36"/>
      <c r="LMA8" s="36"/>
      <c r="LMB8" s="36"/>
      <c r="LMC8" s="36"/>
      <c r="LMD8" s="36"/>
      <c r="LME8" s="36"/>
      <c r="LMF8" s="36"/>
      <c r="LMG8" s="36"/>
      <c r="LMH8" s="36"/>
      <c r="LMI8" s="36"/>
      <c r="LMJ8" s="36"/>
      <c r="LMK8" s="36"/>
      <c r="LML8" s="36"/>
      <c r="LMM8" s="36"/>
      <c r="LMN8" s="36"/>
      <c r="LMO8" s="36"/>
      <c r="LMP8" s="36"/>
      <c r="LMQ8" s="36"/>
      <c r="LMR8" s="36"/>
      <c r="LMS8" s="36"/>
      <c r="LMT8" s="36"/>
      <c r="LMU8" s="36"/>
      <c r="LMV8" s="36"/>
      <c r="LMW8" s="36"/>
      <c r="LMX8" s="36"/>
      <c r="LMY8" s="36"/>
      <c r="LMZ8" s="36"/>
      <c r="LNA8" s="36"/>
      <c r="LNB8" s="36"/>
      <c r="LNC8" s="36"/>
      <c r="LND8" s="36"/>
      <c r="LNE8" s="36"/>
      <c r="LNF8" s="36"/>
      <c r="LNG8" s="36"/>
      <c r="LNH8" s="36"/>
      <c r="LNI8" s="36"/>
      <c r="LNJ8" s="36"/>
      <c r="LNK8" s="36"/>
      <c r="LNL8" s="36"/>
      <c r="LNM8" s="36"/>
      <c r="LNN8" s="36"/>
      <c r="LNO8" s="36"/>
      <c r="LNP8" s="36"/>
      <c r="LNQ8" s="36"/>
      <c r="LNR8" s="36"/>
      <c r="LNS8" s="36"/>
      <c r="LNT8" s="36"/>
      <c r="LNU8" s="36"/>
      <c r="LNV8" s="36"/>
      <c r="LNW8" s="36"/>
      <c r="LNX8" s="36"/>
      <c r="LNY8" s="36"/>
      <c r="LNZ8" s="36"/>
      <c r="LOA8" s="36"/>
      <c r="LOB8" s="36"/>
      <c r="LOC8" s="36"/>
      <c r="LOD8" s="36"/>
      <c r="LOE8" s="36"/>
      <c r="LOF8" s="36"/>
      <c r="LOG8" s="36"/>
      <c r="LOH8" s="36"/>
      <c r="LOI8" s="36"/>
      <c r="LOJ8" s="36"/>
      <c r="LOK8" s="36"/>
      <c r="LOL8" s="36"/>
      <c r="LOM8" s="36"/>
      <c r="LON8" s="36"/>
      <c r="LOO8" s="36"/>
      <c r="LOP8" s="36"/>
      <c r="LOQ8" s="36"/>
      <c r="LOR8" s="36"/>
      <c r="LOS8" s="36"/>
      <c r="LOT8" s="36"/>
      <c r="LOU8" s="36"/>
      <c r="LOV8" s="36"/>
      <c r="LOW8" s="36"/>
      <c r="LOX8" s="36"/>
      <c r="LOY8" s="36"/>
      <c r="LOZ8" s="36"/>
      <c r="LPA8" s="36"/>
      <c r="LPB8" s="36"/>
      <c r="LPC8" s="36"/>
      <c r="LPD8" s="36"/>
      <c r="LPE8" s="36"/>
      <c r="LPF8" s="36"/>
      <c r="LPG8" s="36"/>
      <c r="LPH8" s="36"/>
      <c r="LPI8" s="36"/>
      <c r="LPJ8" s="36"/>
      <c r="LPK8" s="36"/>
      <c r="LPL8" s="36"/>
      <c r="LPM8" s="36"/>
      <c r="LPN8" s="36"/>
      <c r="LPO8" s="36"/>
      <c r="LPP8" s="36"/>
      <c r="LPQ8" s="36"/>
      <c r="LPR8" s="36"/>
      <c r="LPS8" s="36"/>
      <c r="LPT8" s="36"/>
      <c r="LPU8" s="36"/>
      <c r="LPV8" s="36"/>
      <c r="LPW8" s="36"/>
      <c r="LPX8" s="36"/>
      <c r="LPY8" s="36"/>
      <c r="LPZ8" s="36"/>
      <c r="LQA8" s="36"/>
      <c r="LQB8" s="36"/>
      <c r="LQC8" s="36"/>
      <c r="LQD8" s="36"/>
      <c r="LQE8" s="36"/>
      <c r="LQF8" s="36"/>
      <c r="LQG8" s="36"/>
      <c r="LQH8" s="36"/>
      <c r="LQI8" s="36"/>
      <c r="LQJ8" s="36"/>
      <c r="LQK8" s="36"/>
      <c r="LQL8" s="36"/>
      <c r="LQM8" s="36"/>
      <c r="LQN8" s="36"/>
      <c r="LQO8" s="36"/>
      <c r="LQP8" s="36"/>
      <c r="LQQ8" s="36"/>
      <c r="LQR8" s="36"/>
      <c r="LQS8" s="36"/>
      <c r="LQT8" s="36"/>
      <c r="LQU8" s="36"/>
      <c r="LQV8" s="36"/>
      <c r="LQW8" s="36"/>
      <c r="LQX8" s="36"/>
      <c r="LQY8" s="36"/>
      <c r="LQZ8" s="36"/>
      <c r="LRA8" s="36"/>
      <c r="LRB8" s="36"/>
      <c r="LRC8" s="36"/>
      <c r="LRD8" s="36"/>
      <c r="LRE8" s="36"/>
      <c r="LRF8" s="36"/>
      <c r="LRG8" s="36"/>
      <c r="LRH8" s="36"/>
      <c r="LRI8" s="36"/>
      <c r="LRJ8" s="36"/>
      <c r="LRK8" s="36"/>
      <c r="LRL8" s="36"/>
      <c r="LRM8" s="36"/>
      <c r="LRN8" s="36"/>
      <c r="LRO8" s="36"/>
      <c r="LRP8" s="36"/>
      <c r="LRQ8" s="36"/>
      <c r="LRR8" s="36"/>
      <c r="LRS8" s="36"/>
      <c r="LRT8" s="36"/>
      <c r="LRU8" s="36"/>
      <c r="LRV8" s="36"/>
      <c r="LRW8" s="36"/>
      <c r="LRX8" s="36"/>
      <c r="LRY8" s="36"/>
      <c r="LRZ8" s="36"/>
      <c r="LSA8" s="36"/>
      <c r="LSB8" s="36"/>
      <c r="LSC8" s="36"/>
      <c r="LSD8" s="36"/>
      <c r="LSE8" s="36"/>
      <c r="LSF8" s="36"/>
      <c r="LSG8" s="36"/>
      <c r="LSH8" s="36"/>
      <c r="LSI8" s="36"/>
      <c r="LSJ8" s="36"/>
      <c r="LSK8" s="36"/>
      <c r="LSL8" s="36"/>
      <c r="LSM8" s="36"/>
      <c r="LSN8" s="36"/>
      <c r="LSO8" s="36"/>
      <c r="LSP8" s="36"/>
      <c r="LSQ8" s="36"/>
      <c r="LSR8" s="36"/>
      <c r="LSS8" s="36"/>
      <c r="LST8" s="36"/>
      <c r="LSU8" s="36"/>
      <c r="LSV8" s="36"/>
      <c r="LSW8" s="36"/>
      <c r="LSX8" s="36"/>
      <c r="LSY8" s="36"/>
      <c r="LSZ8" s="36"/>
      <c r="LTA8" s="36"/>
      <c r="LTB8" s="36"/>
      <c r="LTC8" s="36"/>
      <c r="LTD8" s="36"/>
      <c r="LTE8" s="36"/>
      <c r="LTF8" s="36"/>
      <c r="LTG8" s="36"/>
      <c r="LTH8" s="36"/>
      <c r="LTI8" s="36"/>
      <c r="LTJ8" s="36"/>
      <c r="LTK8" s="36"/>
      <c r="LTL8" s="36"/>
      <c r="LTM8" s="36"/>
      <c r="LTN8" s="36"/>
      <c r="LTO8" s="36"/>
      <c r="LTP8" s="36"/>
      <c r="LTQ8" s="36"/>
      <c r="LTR8" s="36"/>
      <c r="LTS8" s="36"/>
      <c r="LTT8" s="36"/>
      <c r="LTU8" s="36"/>
      <c r="LTV8" s="36"/>
      <c r="LTW8" s="36"/>
      <c r="LTX8" s="36"/>
      <c r="LTY8" s="36"/>
      <c r="LTZ8" s="36"/>
      <c r="LUA8" s="36"/>
      <c r="LUB8" s="36"/>
      <c r="LUC8" s="36"/>
      <c r="LUD8" s="36"/>
      <c r="LUE8" s="36"/>
      <c r="LUF8" s="36"/>
      <c r="LUG8" s="36"/>
      <c r="LUH8" s="36"/>
      <c r="LUI8" s="36"/>
      <c r="LUJ8" s="36"/>
      <c r="LUK8" s="36"/>
      <c r="LUL8" s="36"/>
      <c r="LUM8" s="36"/>
      <c r="LUN8" s="36"/>
      <c r="LUO8" s="36"/>
      <c r="LUP8" s="36"/>
      <c r="LUQ8" s="36"/>
      <c r="LUR8" s="36"/>
      <c r="LUS8" s="36"/>
      <c r="LUT8" s="36"/>
      <c r="LUU8" s="36"/>
      <c r="LUV8" s="36"/>
      <c r="LUW8" s="36"/>
      <c r="LUX8" s="36"/>
      <c r="LUY8" s="36"/>
      <c r="LUZ8" s="36"/>
      <c r="LVA8" s="36"/>
      <c r="LVB8" s="36"/>
      <c r="LVC8" s="36"/>
      <c r="LVD8" s="36"/>
      <c r="LVE8" s="36"/>
      <c r="LVF8" s="36"/>
      <c r="LVG8" s="36"/>
      <c r="LVH8" s="36"/>
      <c r="LVI8" s="36"/>
      <c r="LVJ8" s="36"/>
      <c r="LVK8" s="36"/>
      <c r="LVL8" s="36"/>
      <c r="LVM8" s="36"/>
      <c r="LVN8" s="36"/>
      <c r="LVO8" s="36"/>
      <c r="LVP8" s="36"/>
      <c r="LVQ8" s="36"/>
      <c r="LVR8" s="36"/>
      <c r="LVS8" s="36"/>
      <c r="LVT8" s="36"/>
      <c r="LVU8" s="36"/>
      <c r="LVV8" s="36"/>
      <c r="LVW8" s="36"/>
      <c r="LVX8" s="36"/>
      <c r="LVY8" s="36"/>
      <c r="LVZ8" s="36"/>
      <c r="LWA8" s="36"/>
      <c r="LWB8" s="36"/>
      <c r="LWC8" s="36"/>
      <c r="LWD8" s="36"/>
      <c r="LWE8" s="36"/>
      <c r="LWF8" s="36"/>
      <c r="LWG8" s="36"/>
      <c r="LWH8" s="36"/>
      <c r="LWI8" s="36"/>
      <c r="LWJ8" s="36"/>
      <c r="LWK8" s="36"/>
      <c r="LWL8" s="36"/>
      <c r="LWM8" s="36"/>
      <c r="LWN8" s="36"/>
      <c r="LWO8" s="36"/>
      <c r="LWP8" s="36"/>
      <c r="LWQ8" s="36"/>
      <c r="LWR8" s="36"/>
      <c r="LWS8" s="36"/>
      <c r="LWT8" s="36"/>
      <c r="LWU8" s="36"/>
      <c r="LWV8" s="36"/>
      <c r="LWW8" s="36"/>
      <c r="LWX8" s="36"/>
      <c r="LWY8" s="36"/>
      <c r="LWZ8" s="36"/>
      <c r="LXA8" s="36"/>
      <c r="LXB8" s="36"/>
      <c r="LXC8" s="36"/>
      <c r="LXD8" s="36"/>
      <c r="LXE8" s="36"/>
      <c r="LXF8" s="36"/>
      <c r="LXG8" s="36"/>
      <c r="LXH8" s="36"/>
      <c r="LXI8" s="36"/>
      <c r="LXJ8" s="36"/>
      <c r="LXK8" s="36"/>
      <c r="LXL8" s="36"/>
      <c r="LXM8" s="36"/>
      <c r="LXN8" s="36"/>
      <c r="LXO8" s="36"/>
      <c r="LXP8" s="36"/>
      <c r="LXQ8" s="36"/>
      <c r="LXR8" s="36"/>
      <c r="LXS8" s="36"/>
      <c r="LXT8" s="36"/>
      <c r="LXU8" s="36"/>
      <c r="LXV8" s="36"/>
      <c r="LXW8" s="36"/>
      <c r="LXX8" s="36"/>
      <c r="LXY8" s="36"/>
      <c r="LXZ8" s="36"/>
      <c r="LYA8" s="36"/>
      <c r="LYB8" s="36"/>
      <c r="LYC8" s="36"/>
      <c r="LYD8" s="36"/>
      <c r="LYE8" s="36"/>
      <c r="LYF8" s="36"/>
      <c r="LYG8" s="36"/>
      <c r="LYH8" s="36"/>
      <c r="LYI8" s="36"/>
      <c r="LYJ8" s="36"/>
      <c r="LYK8" s="36"/>
      <c r="LYL8" s="36"/>
      <c r="LYM8" s="36"/>
      <c r="LYN8" s="36"/>
      <c r="LYO8" s="36"/>
      <c r="LYP8" s="36"/>
      <c r="LYQ8" s="36"/>
      <c r="LYR8" s="36"/>
      <c r="LYS8" s="36"/>
      <c r="LYT8" s="36"/>
      <c r="LYU8" s="36"/>
      <c r="LYV8" s="36"/>
      <c r="LYW8" s="36"/>
      <c r="LYX8" s="36"/>
      <c r="LYY8" s="36"/>
      <c r="LYZ8" s="36"/>
      <c r="LZA8" s="36"/>
      <c r="LZB8" s="36"/>
      <c r="LZC8" s="36"/>
      <c r="LZD8" s="36"/>
      <c r="LZE8" s="36"/>
      <c r="LZF8" s="36"/>
      <c r="LZG8" s="36"/>
      <c r="LZH8" s="36"/>
      <c r="LZI8" s="36"/>
      <c r="LZJ8" s="36"/>
      <c r="LZK8" s="36"/>
      <c r="LZL8" s="36"/>
      <c r="LZM8" s="36"/>
      <c r="LZN8" s="36"/>
      <c r="LZO8" s="36"/>
      <c r="LZP8" s="36"/>
      <c r="LZQ8" s="36"/>
      <c r="LZR8" s="36"/>
      <c r="LZS8" s="36"/>
      <c r="LZT8" s="36"/>
      <c r="LZU8" s="36"/>
      <c r="LZV8" s="36"/>
      <c r="LZW8" s="36"/>
      <c r="LZX8" s="36"/>
      <c r="LZY8" s="36"/>
      <c r="LZZ8" s="36"/>
      <c r="MAA8" s="36"/>
      <c r="MAB8" s="36"/>
      <c r="MAC8" s="36"/>
      <c r="MAD8" s="36"/>
      <c r="MAE8" s="36"/>
      <c r="MAF8" s="36"/>
      <c r="MAG8" s="36"/>
      <c r="MAH8" s="36"/>
      <c r="MAI8" s="36"/>
      <c r="MAJ8" s="36"/>
      <c r="MAK8" s="36"/>
      <c r="MAL8" s="36"/>
      <c r="MAM8" s="36"/>
      <c r="MAN8" s="36"/>
      <c r="MAO8" s="36"/>
      <c r="MAP8" s="36"/>
      <c r="MAQ8" s="36"/>
      <c r="MAR8" s="36"/>
      <c r="MAS8" s="36"/>
      <c r="MAT8" s="36"/>
      <c r="MAU8" s="36"/>
      <c r="MAV8" s="36"/>
      <c r="MAW8" s="36"/>
      <c r="MAX8" s="36"/>
      <c r="MAY8" s="36"/>
      <c r="MAZ8" s="36"/>
      <c r="MBA8" s="36"/>
      <c r="MBB8" s="36"/>
      <c r="MBC8" s="36"/>
      <c r="MBD8" s="36"/>
      <c r="MBE8" s="36"/>
      <c r="MBF8" s="36"/>
      <c r="MBG8" s="36"/>
      <c r="MBH8" s="36"/>
      <c r="MBI8" s="36"/>
      <c r="MBJ8" s="36"/>
      <c r="MBK8" s="36"/>
      <c r="MBL8" s="36"/>
      <c r="MBM8" s="36"/>
      <c r="MBN8" s="36"/>
      <c r="MBO8" s="36"/>
      <c r="MBP8" s="36"/>
      <c r="MBQ8" s="36"/>
      <c r="MBR8" s="36"/>
      <c r="MBS8" s="36"/>
      <c r="MBT8" s="36"/>
      <c r="MBU8" s="36"/>
      <c r="MBV8" s="36"/>
      <c r="MBW8" s="36"/>
      <c r="MBX8" s="36"/>
      <c r="MBY8" s="36"/>
      <c r="MBZ8" s="36"/>
      <c r="MCA8" s="36"/>
      <c r="MCB8" s="36"/>
      <c r="MCC8" s="36"/>
      <c r="MCD8" s="36"/>
      <c r="MCE8" s="36"/>
      <c r="MCF8" s="36"/>
      <c r="MCG8" s="36"/>
      <c r="MCH8" s="36"/>
      <c r="MCI8" s="36"/>
      <c r="MCJ8" s="36"/>
      <c r="MCK8" s="36"/>
      <c r="MCL8" s="36"/>
      <c r="MCM8" s="36"/>
      <c r="MCN8" s="36"/>
      <c r="MCO8" s="36"/>
      <c r="MCP8" s="36"/>
      <c r="MCQ8" s="36"/>
      <c r="MCR8" s="36"/>
      <c r="MCS8" s="36"/>
      <c r="MCT8" s="36"/>
      <c r="MCU8" s="36"/>
      <c r="MCV8" s="36"/>
      <c r="MCW8" s="36"/>
      <c r="MCX8" s="36"/>
      <c r="MCY8" s="36"/>
      <c r="MCZ8" s="36"/>
      <c r="MDA8" s="36"/>
      <c r="MDB8" s="36"/>
      <c r="MDC8" s="36"/>
      <c r="MDD8" s="36"/>
      <c r="MDE8" s="36"/>
      <c r="MDF8" s="36"/>
      <c r="MDG8" s="36"/>
      <c r="MDH8" s="36"/>
      <c r="MDI8" s="36"/>
      <c r="MDJ8" s="36"/>
      <c r="MDK8" s="36"/>
      <c r="MDL8" s="36"/>
      <c r="MDM8" s="36"/>
      <c r="MDN8" s="36"/>
      <c r="MDO8" s="36"/>
      <c r="MDP8" s="36"/>
      <c r="MDQ8" s="36"/>
      <c r="MDR8" s="36"/>
      <c r="MDS8" s="36"/>
      <c r="MDT8" s="36"/>
      <c r="MDU8" s="36"/>
      <c r="MDV8" s="36"/>
      <c r="MDW8" s="36"/>
      <c r="MDX8" s="36"/>
      <c r="MDY8" s="36"/>
      <c r="MDZ8" s="36"/>
      <c r="MEA8" s="36"/>
      <c r="MEB8" s="36"/>
      <c r="MEC8" s="36"/>
      <c r="MED8" s="36"/>
      <c r="MEE8" s="36"/>
      <c r="MEF8" s="36"/>
      <c r="MEG8" s="36"/>
      <c r="MEH8" s="36"/>
      <c r="MEI8" s="36"/>
      <c r="MEJ8" s="36"/>
      <c r="MEK8" s="36"/>
      <c r="MEL8" s="36"/>
      <c r="MEM8" s="36"/>
      <c r="MEN8" s="36"/>
      <c r="MEO8" s="36"/>
      <c r="MEP8" s="36"/>
      <c r="MEQ8" s="36"/>
      <c r="MER8" s="36"/>
      <c r="MES8" s="36"/>
      <c r="MET8" s="36"/>
      <c r="MEU8" s="36"/>
      <c r="MEV8" s="36"/>
      <c r="MEW8" s="36"/>
      <c r="MEX8" s="36"/>
      <c r="MEY8" s="36"/>
      <c r="MEZ8" s="36"/>
      <c r="MFA8" s="36"/>
      <c r="MFB8" s="36"/>
      <c r="MFC8" s="36"/>
      <c r="MFD8" s="36"/>
      <c r="MFE8" s="36"/>
      <c r="MFF8" s="36"/>
      <c r="MFG8" s="36"/>
      <c r="MFH8" s="36"/>
      <c r="MFI8" s="36"/>
      <c r="MFJ8" s="36"/>
      <c r="MFK8" s="36"/>
      <c r="MFL8" s="36"/>
      <c r="MFM8" s="36"/>
      <c r="MFN8" s="36"/>
      <c r="MFO8" s="36"/>
      <c r="MFP8" s="36"/>
      <c r="MFQ8" s="36"/>
      <c r="MFR8" s="36"/>
      <c r="MFS8" s="36"/>
      <c r="MFT8" s="36"/>
      <c r="MFU8" s="36"/>
      <c r="MFV8" s="36"/>
      <c r="MFW8" s="36"/>
      <c r="MFX8" s="36"/>
      <c r="MFY8" s="36"/>
      <c r="MFZ8" s="36"/>
      <c r="MGA8" s="36"/>
      <c r="MGB8" s="36"/>
      <c r="MGC8" s="36"/>
      <c r="MGD8" s="36"/>
      <c r="MGE8" s="36"/>
      <c r="MGF8" s="36"/>
      <c r="MGG8" s="36"/>
      <c r="MGH8" s="36"/>
      <c r="MGI8" s="36"/>
      <c r="MGJ8" s="36"/>
      <c r="MGK8" s="36"/>
      <c r="MGL8" s="36"/>
      <c r="MGM8" s="36"/>
      <c r="MGN8" s="36"/>
      <c r="MGO8" s="36"/>
      <c r="MGP8" s="36"/>
      <c r="MGQ8" s="36"/>
      <c r="MGR8" s="36"/>
      <c r="MGS8" s="36"/>
      <c r="MGT8" s="36"/>
      <c r="MGU8" s="36"/>
      <c r="MGV8" s="36"/>
      <c r="MGW8" s="36"/>
      <c r="MGX8" s="36"/>
      <c r="MGY8" s="36"/>
      <c r="MGZ8" s="36"/>
      <c r="MHA8" s="36"/>
      <c r="MHB8" s="36"/>
      <c r="MHC8" s="36"/>
      <c r="MHD8" s="36"/>
      <c r="MHE8" s="36"/>
      <c r="MHF8" s="36"/>
      <c r="MHG8" s="36"/>
      <c r="MHH8" s="36"/>
      <c r="MHI8" s="36"/>
      <c r="MHJ8" s="36"/>
      <c r="MHK8" s="36"/>
      <c r="MHL8" s="36"/>
      <c r="MHM8" s="36"/>
      <c r="MHN8" s="36"/>
      <c r="MHO8" s="36"/>
      <c r="MHP8" s="36"/>
      <c r="MHQ8" s="36"/>
      <c r="MHR8" s="36"/>
      <c r="MHS8" s="36"/>
      <c r="MHT8" s="36"/>
      <c r="MHU8" s="36"/>
      <c r="MHV8" s="36"/>
      <c r="MHW8" s="36"/>
      <c r="MHX8" s="36"/>
      <c r="MHY8" s="36"/>
      <c r="MHZ8" s="36"/>
      <c r="MIA8" s="36"/>
      <c r="MIB8" s="36"/>
      <c r="MIC8" s="36"/>
      <c r="MID8" s="36"/>
      <c r="MIE8" s="36"/>
      <c r="MIF8" s="36"/>
      <c r="MIG8" s="36"/>
      <c r="MIH8" s="36"/>
      <c r="MII8" s="36"/>
      <c r="MIJ8" s="36"/>
      <c r="MIK8" s="36"/>
      <c r="MIL8" s="36"/>
      <c r="MIM8" s="36"/>
      <c r="MIN8" s="36"/>
      <c r="MIO8" s="36"/>
      <c r="MIP8" s="36"/>
      <c r="MIQ8" s="36"/>
      <c r="MIR8" s="36"/>
      <c r="MIS8" s="36"/>
      <c r="MIT8" s="36"/>
      <c r="MIU8" s="36"/>
      <c r="MIV8" s="36"/>
      <c r="MIW8" s="36"/>
      <c r="MIX8" s="36"/>
      <c r="MIY8" s="36"/>
      <c r="MIZ8" s="36"/>
      <c r="MJA8" s="36"/>
      <c r="MJB8" s="36"/>
      <c r="MJC8" s="36"/>
      <c r="MJD8" s="36"/>
      <c r="MJE8" s="36"/>
      <c r="MJF8" s="36"/>
      <c r="MJG8" s="36"/>
      <c r="MJH8" s="36"/>
      <c r="MJI8" s="36"/>
      <c r="MJJ8" s="36"/>
      <c r="MJK8" s="36"/>
      <c r="MJL8" s="36"/>
      <c r="MJM8" s="36"/>
      <c r="MJN8" s="36"/>
      <c r="MJO8" s="36"/>
      <c r="MJP8" s="36"/>
      <c r="MJQ8" s="36"/>
      <c r="MJR8" s="36"/>
      <c r="MJS8" s="36"/>
      <c r="MJT8" s="36"/>
      <c r="MJU8" s="36"/>
      <c r="MJV8" s="36"/>
      <c r="MJW8" s="36"/>
      <c r="MJX8" s="36"/>
      <c r="MJY8" s="36"/>
      <c r="MJZ8" s="36"/>
      <c r="MKA8" s="36"/>
      <c r="MKB8" s="36"/>
      <c r="MKC8" s="36"/>
      <c r="MKD8" s="36"/>
      <c r="MKE8" s="36"/>
      <c r="MKF8" s="36"/>
      <c r="MKG8" s="36"/>
      <c r="MKH8" s="36"/>
      <c r="MKI8" s="36"/>
      <c r="MKJ8" s="36"/>
      <c r="MKK8" s="36"/>
      <c r="MKL8" s="36"/>
      <c r="MKM8" s="36"/>
      <c r="MKN8" s="36"/>
      <c r="MKO8" s="36"/>
      <c r="MKP8" s="36"/>
      <c r="MKQ8" s="36"/>
      <c r="MKR8" s="36"/>
      <c r="MKS8" s="36"/>
      <c r="MKT8" s="36"/>
      <c r="MKU8" s="36"/>
      <c r="MKV8" s="36"/>
      <c r="MKW8" s="36"/>
      <c r="MKX8" s="36"/>
      <c r="MKY8" s="36"/>
      <c r="MKZ8" s="36"/>
      <c r="MLA8" s="36"/>
      <c r="MLB8" s="36"/>
      <c r="MLC8" s="36"/>
      <c r="MLD8" s="36"/>
      <c r="MLE8" s="36"/>
      <c r="MLF8" s="36"/>
      <c r="MLG8" s="36"/>
      <c r="MLH8" s="36"/>
      <c r="MLI8" s="36"/>
      <c r="MLJ8" s="36"/>
      <c r="MLK8" s="36"/>
      <c r="MLL8" s="36"/>
      <c r="MLM8" s="36"/>
      <c r="MLN8" s="36"/>
      <c r="MLO8" s="36"/>
      <c r="MLP8" s="36"/>
      <c r="MLQ8" s="36"/>
      <c r="MLR8" s="36"/>
      <c r="MLS8" s="36"/>
      <c r="MLT8" s="36"/>
      <c r="MLU8" s="36"/>
      <c r="MLV8" s="36"/>
      <c r="MLW8" s="36"/>
      <c r="MLX8" s="36"/>
      <c r="MLY8" s="36"/>
      <c r="MLZ8" s="36"/>
      <c r="MMA8" s="36"/>
      <c r="MMB8" s="36"/>
      <c r="MMC8" s="36"/>
      <c r="MMD8" s="36"/>
      <c r="MME8" s="36"/>
      <c r="MMF8" s="36"/>
      <c r="MMG8" s="36"/>
      <c r="MMH8" s="36"/>
      <c r="MMI8" s="36"/>
      <c r="MMJ8" s="36"/>
      <c r="MMK8" s="36"/>
      <c r="MML8" s="36"/>
      <c r="MMM8" s="36"/>
      <c r="MMN8" s="36"/>
      <c r="MMO8" s="36"/>
      <c r="MMP8" s="36"/>
      <c r="MMQ8" s="36"/>
      <c r="MMR8" s="36"/>
      <c r="MMS8" s="36"/>
      <c r="MMT8" s="36"/>
      <c r="MMU8" s="36"/>
      <c r="MMV8" s="36"/>
      <c r="MMW8" s="36"/>
      <c r="MMX8" s="36"/>
      <c r="MMY8" s="36"/>
      <c r="MMZ8" s="36"/>
      <c r="MNA8" s="36"/>
      <c r="MNB8" s="36"/>
      <c r="MNC8" s="36"/>
      <c r="MND8" s="36"/>
      <c r="MNE8" s="36"/>
      <c r="MNF8" s="36"/>
      <c r="MNG8" s="36"/>
      <c r="MNH8" s="36"/>
      <c r="MNI8" s="36"/>
      <c r="MNJ8" s="36"/>
      <c r="MNK8" s="36"/>
      <c r="MNL8" s="36"/>
      <c r="MNM8" s="36"/>
      <c r="MNN8" s="36"/>
      <c r="MNO8" s="36"/>
      <c r="MNP8" s="36"/>
      <c r="MNQ8" s="36"/>
      <c r="MNR8" s="36"/>
      <c r="MNS8" s="36"/>
      <c r="MNT8" s="36"/>
      <c r="MNU8" s="36"/>
      <c r="MNV8" s="36"/>
      <c r="MNW8" s="36"/>
      <c r="MNX8" s="36"/>
      <c r="MNY8" s="36"/>
      <c r="MNZ8" s="36"/>
      <c r="MOA8" s="36"/>
      <c r="MOB8" s="36"/>
      <c r="MOC8" s="36"/>
      <c r="MOD8" s="36"/>
      <c r="MOE8" s="36"/>
      <c r="MOF8" s="36"/>
      <c r="MOG8" s="36"/>
      <c r="MOH8" s="36"/>
      <c r="MOI8" s="36"/>
      <c r="MOJ8" s="36"/>
      <c r="MOK8" s="36"/>
      <c r="MOL8" s="36"/>
      <c r="MOM8" s="36"/>
      <c r="MON8" s="36"/>
      <c r="MOO8" s="36"/>
      <c r="MOP8" s="36"/>
      <c r="MOQ8" s="36"/>
      <c r="MOR8" s="36"/>
      <c r="MOS8" s="36"/>
      <c r="MOT8" s="36"/>
      <c r="MOU8" s="36"/>
      <c r="MOV8" s="36"/>
      <c r="MOW8" s="36"/>
      <c r="MOX8" s="36"/>
      <c r="MOY8" s="36"/>
      <c r="MOZ8" s="36"/>
      <c r="MPA8" s="36"/>
      <c r="MPB8" s="36"/>
      <c r="MPC8" s="36"/>
      <c r="MPD8" s="36"/>
      <c r="MPE8" s="36"/>
      <c r="MPF8" s="36"/>
      <c r="MPG8" s="36"/>
      <c r="MPH8" s="36"/>
      <c r="MPI8" s="36"/>
      <c r="MPJ8" s="36"/>
      <c r="MPK8" s="36"/>
      <c r="MPL8" s="36"/>
      <c r="MPM8" s="36"/>
      <c r="MPN8" s="36"/>
      <c r="MPO8" s="36"/>
      <c r="MPP8" s="36"/>
      <c r="MPQ8" s="36"/>
      <c r="MPR8" s="36"/>
      <c r="MPS8" s="36"/>
      <c r="MPT8" s="36"/>
      <c r="MPU8" s="36"/>
      <c r="MPV8" s="36"/>
      <c r="MPW8" s="36"/>
      <c r="MPX8" s="36"/>
      <c r="MPY8" s="36"/>
      <c r="MPZ8" s="36"/>
      <c r="MQA8" s="36"/>
      <c r="MQB8" s="36"/>
      <c r="MQC8" s="36"/>
      <c r="MQD8" s="36"/>
      <c r="MQE8" s="36"/>
      <c r="MQF8" s="36"/>
      <c r="MQG8" s="36"/>
      <c r="MQH8" s="36"/>
      <c r="MQI8" s="36"/>
      <c r="MQJ8" s="36"/>
      <c r="MQK8" s="36"/>
      <c r="MQL8" s="36"/>
      <c r="MQM8" s="36"/>
      <c r="MQN8" s="36"/>
      <c r="MQO8" s="36"/>
      <c r="MQP8" s="36"/>
      <c r="MQQ8" s="36"/>
      <c r="MQR8" s="36"/>
      <c r="MQS8" s="36"/>
      <c r="MQT8" s="36"/>
      <c r="MQU8" s="36"/>
      <c r="MQV8" s="36"/>
      <c r="MQW8" s="36"/>
      <c r="MQX8" s="36"/>
      <c r="MQY8" s="36"/>
      <c r="MQZ8" s="36"/>
      <c r="MRA8" s="36"/>
      <c r="MRB8" s="36"/>
      <c r="MRC8" s="36"/>
      <c r="MRD8" s="36"/>
      <c r="MRE8" s="36"/>
      <c r="MRF8" s="36"/>
      <c r="MRG8" s="36"/>
      <c r="MRH8" s="36"/>
      <c r="MRI8" s="36"/>
      <c r="MRJ8" s="36"/>
      <c r="MRK8" s="36"/>
      <c r="MRL8" s="36"/>
      <c r="MRM8" s="36"/>
      <c r="MRN8" s="36"/>
      <c r="MRO8" s="36"/>
      <c r="MRP8" s="36"/>
      <c r="MRQ8" s="36"/>
      <c r="MRR8" s="36"/>
      <c r="MRS8" s="36"/>
      <c r="MRT8" s="36"/>
      <c r="MRU8" s="36"/>
      <c r="MRV8" s="36"/>
      <c r="MRW8" s="36"/>
      <c r="MRX8" s="36"/>
      <c r="MRY8" s="36"/>
      <c r="MRZ8" s="36"/>
      <c r="MSA8" s="36"/>
      <c r="MSB8" s="36"/>
      <c r="MSC8" s="36"/>
      <c r="MSD8" s="36"/>
      <c r="MSE8" s="36"/>
      <c r="MSF8" s="36"/>
      <c r="MSG8" s="36"/>
      <c r="MSH8" s="36"/>
      <c r="MSI8" s="36"/>
      <c r="MSJ8" s="36"/>
      <c r="MSK8" s="36"/>
      <c r="MSL8" s="36"/>
      <c r="MSM8" s="36"/>
      <c r="MSN8" s="36"/>
      <c r="MSO8" s="36"/>
      <c r="MSP8" s="36"/>
      <c r="MSQ8" s="36"/>
      <c r="MSR8" s="36"/>
      <c r="MSS8" s="36"/>
      <c r="MST8" s="36"/>
      <c r="MSU8" s="36"/>
      <c r="MSV8" s="36"/>
      <c r="MSW8" s="36"/>
      <c r="MSX8" s="36"/>
      <c r="MSY8" s="36"/>
      <c r="MSZ8" s="36"/>
      <c r="MTA8" s="36"/>
      <c r="MTB8" s="36"/>
      <c r="MTC8" s="36"/>
      <c r="MTD8" s="36"/>
      <c r="MTE8" s="36"/>
      <c r="MTF8" s="36"/>
      <c r="MTG8" s="36"/>
      <c r="MTH8" s="36"/>
      <c r="MTI8" s="36"/>
      <c r="MTJ8" s="36"/>
      <c r="MTK8" s="36"/>
      <c r="MTL8" s="36"/>
      <c r="MTM8" s="36"/>
      <c r="MTN8" s="36"/>
      <c r="MTO8" s="36"/>
      <c r="MTP8" s="36"/>
      <c r="MTQ8" s="36"/>
      <c r="MTR8" s="36"/>
      <c r="MTS8" s="36"/>
      <c r="MTT8" s="36"/>
      <c r="MTU8" s="36"/>
      <c r="MTV8" s="36"/>
      <c r="MTW8" s="36"/>
      <c r="MTX8" s="36"/>
      <c r="MTY8" s="36"/>
      <c r="MTZ8" s="36"/>
      <c r="MUA8" s="36"/>
      <c r="MUB8" s="36"/>
      <c r="MUC8" s="36"/>
      <c r="MUD8" s="36"/>
      <c r="MUE8" s="36"/>
      <c r="MUF8" s="36"/>
      <c r="MUG8" s="36"/>
      <c r="MUH8" s="36"/>
      <c r="MUI8" s="36"/>
      <c r="MUJ8" s="36"/>
      <c r="MUK8" s="36"/>
      <c r="MUL8" s="36"/>
      <c r="MUM8" s="36"/>
      <c r="MUN8" s="36"/>
      <c r="MUO8" s="36"/>
      <c r="MUP8" s="36"/>
      <c r="MUQ8" s="36"/>
      <c r="MUR8" s="36"/>
      <c r="MUS8" s="36"/>
      <c r="MUT8" s="36"/>
      <c r="MUU8" s="36"/>
      <c r="MUV8" s="36"/>
      <c r="MUW8" s="36"/>
      <c r="MUX8" s="36"/>
      <c r="MUY8" s="36"/>
      <c r="MUZ8" s="36"/>
      <c r="MVA8" s="36"/>
      <c r="MVB8" s="36"/>
      <c r="MVC8" s="36"/>
      <c r="MVD8" s="36"/>
      <c r="MVE8" s="36"/>
      <c r="MVF8" s="36"/>
      <c r="MVG8" s="36"/>
      <c r="MVH8" s="36"/>
      <c r="MVI8" s="36"/>
      <c r="MVJ8" s="36"/>
      <c r="MVK8" s="36"/>
      <c r="MVL8" s="36"/>
      <c r="MVM8" s="36"/>
      <c r="MVN8" s="36"/>
      <c r="MVO8" s="36"/>
      <c r="MVP8" s="36"/>
      <c r="MVQ8" s="36"/>
      <c r="MVR8" s="36"/>
      <c r="MVS8" s="36"/>
      <c r="MVT8" s="36"/>
      <c r="MVU8" s="36"/>
      <c r="MVV8" s="36"/>
      <c r="MVW8" s="36"/>
      <c r="MVX8" s="36"/>
      <c r="MVY8" s="36"/>
      <c r="MVZ8" s="36"/>
      <c r="MWA8" s="36"/>
      <c r="MWB8" s="36"/>
      <c r="MWC8" s="36"/>
      <c r="MWD8" s="36"/>
      <c r="MWE8" s="36"/>
      <c r="MWF8" s="36"/>
      <c r="MWG8" s="36"/>
      <c r="MWH8" s="36"/>
      <c r="MWI8" s="36"/>
      <c r="MWJ8" s="36"/>
      <c r="MWK8" s="36"/>
      <c r="MWL8" s="36"/>
      <c r="MWM8" s="36"/>
      <c r="MWN8" s="36"/>
      <c r="MWO8" s="36"/>
      <c r="MWP8" s="36"/>
      <c r="MWQ8" s="36"/>
      <c r="MWR8" s="36"/>
      <c r="MWS8" s="36"/>
      <c r="MWT8" s="36"/>
      <c r="MWU8" s="36"/>
      <c r="MWV8" s="36"/>
      <c r="MWW8" s="36"/>
      <c r="MWX8" s="36"/>
      <c r="MWY8" s="36"/>
      <c r="MWZ8" s="36"/>
      <c r="MXA8" s="36"/>
      <c r="MXB8" s="36"/>
      <c r="MXC8" s="36"/>
      <c r="MXD8" s="36"/>
      <c r="MXE8" s="36"/>
      <c r="MXF8" s="36"/>
      <c r="MXG8" s="36"/>
      <c r="MXH8" s="36"/>
      <c r="MXI8" s="36"/>
      <c r="MXJ8" s="36"/>
      <c r="MXK8" s="36"/>
      <c r="MXL8" s="36"/>
      <c r="MXM8" s="36"/>
      <c r="MXN8" s="36"/>
      <c r="MXO8" s="36"/>
      <c r="MXP8" s="36"/>
      <c r="MXQ8" s="36"/>
      <c r="MXR8" s="36"/>
      <c r="MXS8" s="36"/>
      <c r="MXT8" s="36"/>
      <c r="MXU8" s="36"/>
      <c r="MXV8" s="36"/>
      <c r="MXW8" s="36"/>
      <c r="MXX8" s="36"/>
      <c r="MXY8" s="36"/>
      <c r="MXZ8" s="36"/>
      <c r="MYA8" s="36"/>
      <c r="MYB8" s="36"/>
      <c r="MYC8" s="36"/>
      <c r="MYD8" s="36"/>
      <c r="MYE8" s="36"/>
      <c r="MYF8" s="36"/>
      <c r="MYG8" s="36"/>
      <c r="MYH8" s="36"/>
      <c r="MYI8" s="36"/>
      <c r="MYJ8" s="36"/>
      <c r="MYK8" s="36"/>
      <c r="MYL8" s="36"/>
      <c r="MYM8" s="36"/>
      <c r="MYN8" s="36"/>
      <c r="MYO8" s="36"/>
      <c r="MYP8" s="36"/>
      <c r="MYQ8" s="36"/>
      <c r="MYR8" s="36"/>
      <c r="MYS8" s="36"/>
      <c r="MYT8" s="36"/>
      <c r="MYU8" s="36"/>
      <c r="MYV8" s="36"/>
      <c r="MYW8" s="36"/>
      <c r="MYX8" s="36"/>
      <c r="MYY8" s="36"/>
      <c r="MYZ8" s="36"/>
      <c r="MZA8" s="36"/>
      <c r="MZB8" s="36"/>
      <c r="MZC8" s="36"/>
      <c r="MZD8" s="36"/>
      <c r="MZE8" s="36"/>
      <c r="MZF8" s="36"/>
      <c r="MZG8" s="36"/>
      <c r="MZH8" s="36"/>
      <c r="MZI8" s="36"/>
      <c r="MZJ8" s="36"/>
      <c r="MZK8" s="36"/>
      <c r="MZL8" s="36"/>
      <c r="MZM8" s="36"/>
      <c r="MZN8" s="36"/>
      <c r="MZO8" s="36"/>
      <c r="MZP8" s="36"/>
      <c r="MZQ8" s="36"/>
      <c r="MZR8" s="36"/>
      <c r="MZS8" s="36"/>
      <c r="MZT8" s="36"/>
      <c r="MZU8" s="36"/>
      <c r="MZV8" s="36"/>
      <c r="MZW8" s="36"/>
      <c r="MZX8" s="36"/>
      <c r="MZY8" s="36"/>
      <c r="MZZ8" s="36"/>
      <c r="NAA8" s="36"/>
      <c r="NAB8" s="36"/>
      <c r="NAC8" s="36"/>
      <c r="NAD8" s="36"/>
      <c r="NAE8" s="36"/>
      <c r="NAF8" s="36"/>
      <c r="NAG8" s="36"/>
      <c r="NAH8" s="36"/>
      <c r="NAI8" s="36"/>
      <c r="NAJ8" s="36"/>
      <c r="NAK8" s="36"/>
      <c r="NAL8" s="36"/>
      <c r="NAM8" s="36"/>
      <c r="NAN8" s="36"/>
      <c r="NAO8" s="36"/>
      <c r="NAP8" s="36"/>
      <c r="NAQ8" s="36"/>
      <c r="NAR8" s="36"/>
      <c r="NAS8" s="36"/>
      <c r="NAT8" s="36"/>
      <c r="NAU8" s="36"/>
      <c r="NAV8" s="36"/>
      <c r="NAW8" s="36"/>
      <c r="NAX8" s="36"/>
      <c r="NAY8" s="36"/>
      <c r="NAZ8" s="36"/>
      <c r="NBA8" s="36"/>
      <c r="NBB8" s="36"/>
      <c r="NBC8" s="36"/>
      <c r="NBD8" s="36"/>
      <c r="NBE8" s="36"/>
      <c r="NBF8" s="36"/>
      <c r="NBG8" s="36"/>
      <c r="NBH8" s="36"/>
      <c r="NBI8" s="36"/>
      <c r="NBJ8" s="36"/>
      <c r="NBK8" s="36"/>
      <c r="NBL8" s="36"/>
      <c r="NBM8" s="36"/>
      <c r="NBN8" s="36"/>
      <c r="NBO8" s="36"/>
      <c r="NBP8" s="36"/>
      <c r="NBQ8" s="36"/>
      <c r="NBR8" s="36"/>
      <c r="NBS8" s="36"/>
      <c r="NBT8" s="36"/>
      <c r="NBU8" s="36"/>
      <c r="NBV8" s="36"/>
      <c r="NBW8" s="36"/>
      <c r="NBX8" s="36"/>
      <c r="NBY8" s="36"/>
      <c r="NBZ8" s="36"/>
      <c r="NCA8" s="36"/>
      <c r="NCB8" s="36"/>
      <c r="NCC8" s="36"/>
      <c r="NCD8" s="36"/>
      <c r="NCE8" s="36"/>
      <c r="NCF8" s="36"/>
      <c r="NCG8" s="36"/>
      <c r="NCH8" s="36"/>
      <c r="NCI8" s="36"/>
      <c r="NCJ8" s="36"/>
      <c r="NCK8" s="36"/>
      <c r="NCL8" s="36"/>
      <c r="NCM8" s="36"/>
      <c r="NCN8" s="36"/>
      <c r="NCO8" s="36"/>
      <c r="NCP8" s="36"/>
      <c r="NCQ8" s="36"/>
      <c r="NCR8" s="36"/>
      <c r="NCS8" s="36"/>
      <c r="NCT8" s="36"/>
      <c r="NCU8" s="36"/>
      <c r="NCV8" s="36"/>
      <c r="NCW8" s="36"/>
      <c r="NCX8" s="36"/>
      <c r="NCY8" s="36"/>
      <c r="NCZ8" s="36"/>
      <c r="NDA8" s="36"/>
      <c r="NDB8" s="36"/>
      <c r="NDC8" s="36"/>
      <c r="NDD8" s="36"/>
      <c r="NDE8" s="36"/>
      <c r="NDF8" s="36"/>
      <c r="NDG8" s="36"/>
      <c r="NDH8" s="36"/>
      <c r="NDI8" s="36"/>
      <c r="NDJ8" s="36"/>
      <c r="NDK8" s="36"/>
      <c r="NDL8" s="36"/>
      <c r="NDM8" s="36"/>
      <c r="NDN8" s="36"/>
      <c r="NDO8" s="36"/>
      <c r="NDP8" s="36"/>
      <c r="NDQ8" s="36"/>
      <c r="NDR8" s="36"/>
      <c r="NDS8" s="36"/>
      <c r="NDT8" s="36"/>
      <c r="NDU8" s="36"/>
      <c r="NDV8" s="36"/>
      <c r="NDW8" s="36"/>
      <c r="NDX8" s="36"/>
      <c r="NDY8" s="36"/>
      <c r="NDZ8" s="36"/>
      <c r="NEA8" s="36"/>
      <c r="NEB8" s="36"/>
      <c r="NEC8" s="36"/>
      <c r="NED8" s="36"/>
      <c r="NEE8" s="36"/>
      <c r="NEF8" s="36"/>
      <c r="NEG8" s="36"/>
      <c r="NEH8" s="36"/>
      <c r="NEI8" s="36"/>
      <c r="NEJ8" s="36"/>
      <c r="NEK8" s="36"/>
      <c r="NEL8" s="36"/>
      <c r="NEM8" s="36"/>
      <c r="NEN8" s="36"/>
      <c r="NEO8" s="36"/>
      <c r="NEP8" s="36"/>
      <c r="NEQ8" s="36"/>
      <c r="NER8" s="36"/>
      <c r="NES8" s="36"/>
      <c r="NET8" s="36"/>
      <c r="NEU8" s="36"/>
      <c r="NEV8" s="36"/>
      <c r="NEW8" s="36"/>
      <c r="NEX8" s="36"/>
      <c r="NEY8" s="36"/>
      <c r="NEZ8" s="36"/>
      <c r="NFA8" s="36"/>
      <c r="NFB8" s="36"/>
      <c r="NFC8" s="36"/>
      <c r="NFD8" s="36"/>
      <c r="NFE8" s="36"/>
      <c r="NFF8" s="36"/>
      <c r="NFG8" s="36"/>
      <c r="NFH8" s="36"/>
      <c r="NFI8" s="36"/>
      <c r="NFJ8" s="36"/>
      <c r="NFK8" s="36"/>
      <c r="NFL8" s="36"/>
      <c r="NFM8" s="36"/>
      <c r="NFN8" s="36"/>
      <c r="NFO8" s="36"/>
      <c r="NFP8" s="36"/>
      <c r="NFQ8" s="36"/>
      <c r="NFR8" s="36"/>
      <c r="NFS8" s="36"/>
      <c r="NFT8" s="36"/>
      <c r="NFU8" s="36"/>
      <c r="NFV8" s="36"/>
      <c r="NFW8" s="36"/>
      <c r="NFX8" s="36"/>
      <c r="NFY8" s="36"/>
      <c r="NFZ8" s="36"/>
      <c r="NGA8" s="36"/>
      <c r="NGB8" s="36"/>
      <c r="NGC8" s="36"/>
      <c r="NGD8" s="36"/>
      <c r="NGE8" s="36"/>
      <c r="NGF8" s="36"/>
      <c r="NGG8" s="36"/>
      <c r="NGH8" s="36"/>
      <c r="NGI8" s="36"/>
      <c r="NGJ8" s="36"/>
      <c r="NGK8" s="36"/>
      <c r="NGL8" s="36"/>
      <c r="NGM8" s="36"/>
      <c r="NGN8" s="36"/>
      <c r="NGO8" s="36"/>
      <c r="NGP8" s="36"/>
      <c r="NGQ8" s="36"/>
      <c r="NGR8" s="36"/>
      <c r="NGS8" s="36"/>
      <c r="NGT8" s="36"/>
      <c r="NGU8" s="36"/>
      <c r="NGV8" s="36"/>
      <c r="NGW8" s="36"/>
      <c r="NGX8" s="36"/>
      <c r="NGY8" s="36"/>
      <c r="NGZ8" s="36"/>
      <c r="NHA8" s="36"/>
      <c r="NHB8" s="36"/>
      <c r="NHC8" s="36"/>
      <c r="NHD8" s="36"/>
      <c r="NHE8" s="36"/>
      <c r="NHF8" s="36"/>
      <c r="NHG8" s="36"/>
      <c r="NHH8" s="36"/>
      <c r="NHI8" s="36"/>
      <c r="NHJ8" s="36"/>
      <c r="NHK8" s="36"/>
      <c r="NHL8" s="36"/>
      <c r="NHM8" s="36"/>
      <c r="NHN8" s="36"/>
      <c r="NHO8" s="36"/>
      <c r="NHP8" s="36"/>
      <c r="NHQ8" s="36"/>
      <c r="NHR8" s="36"/>
      <c r="NHS8" s="36"/>
      <c r="NHT8" s="36"/>
      <c r="NHU8" s="36"/>
      <c r="NHV8" s="36"/>
      <c r="NHW8" s="36"/>
      <c r="NHX8" s="36"/>
      <c r="NHY8" s="36"/>
      <c r="NHZ8" s="36"/>
      <c r="NIA8" s="36"/>
      <c r="NIB8" s="36"/>
      <c r="NIC8" s="36"/>
      <c r="NID8" s="36"/>
      <c r="NIE8" s="36"/>
      <c r="NIF8" s="36"/>
      <c r="NIG8" s="36"/>
      <c r="NIH8" s="36"/>
      <c r="NII8" s="36"/>
      <c r="NIJ8" s="36"/>
      <c r="NIK8" s="36"/>
      <c r="NIL8" s="36"/>
      <c r="NIM8" s="36"/>
      <c r="NIN8" s="36"/>
      <c r="NIO8" s="36"/>
      <c r="NIP8" s="36"/>
      <c r="NIQ8" s="36"/>
      <c r="NIR8" s="36"/>
      <c r="NIS8" s="36"/>
      <c r="NIT8" s="36"/>
      <c r="NIU8" s="36"/>
      <c r="NIV8" s="36"/>
      <c r="NIW8" s="36"/>
      <c r="NIX8" s="36"/>
      <c r="NIY8" s="36"/>
      <c r="NIZ8" s="36"/>
      <c r="NJA8" s="36"/>
      <c r="NJB8" s="36"/>
      <c r="NJC8" s="36"/>
      <c r="NJD8" s="36"/>
      <c r="NJE8" s="36"/>
      <c r="NJF8" s="36"/>
      <c r="NJG8" s="36"/>
      <c r="NJH8" s="36"/>
      <c r="NJI8" s="36"/>
      <c r="NJJ8" s="36"/>
      <c r="NJK8" s="36"/>
      <c r="NJL8" s="36"/>
      <c r="NJM8" s="36"/>
      <c r="NJN8" s="36"/>
      <c r="NJO8" s="36"/>
      <c r="NJP8" s="36"/>
      <c r="NJQ8" s="36"/>
      <c r="NJR8" s="36"/>
      <c r="NJS8" s="36"/>
      <c r="NJT8" s="36"/>
      <c r="NJU8" s="36"/>
      <c r="NJV8" s="36"/>
      <c r="NJW8" s="36"/>
      <c r="NJX8" s="36"/>
      <c r="NJY8" s="36"/>
      <c r="NJZ8" s="36"/>
      <c r="NKA8" s="36"/>
      <c r="NKB8" s="36"/>
      <c r="NKC8" s="36"/>
      <c r="NKD8" s="36"/>
      <c r="NKE8" s="36"/>
      <c r="NKF8" s="36"/>
      <c r="NKG8" s="36"/>
      <c r="NKH8" s="36"/>
      <c r="NKI8" s="36"/>
      <c r="NKJ8" s="36"/>
      <c r="NKK8" s="36"/>
      <c r="NKL8" s="36"/>
      <c r="NKM8" s="36"/>
      <c r="NKN8" s="36"/>
      <c r="NKO8" s="36"/>
      <c r="NKP8" s="36"/>
      <c r="NKQ8" s="36"/>
      <c r="NKR8" s="36"/>
      <c r="NKS8" s="36"/>
      <c r="NKT8" s="36"/>
      <c r="NKU8" s="36"/>
      <c r="NKV8" s="36"/>
      <c r="NKW8" s="36"/>
      <c r="NKX8" s="36"/>
      <c r="NKY8" s="36"/>
      <c r="NKZ8" s="36"/>
      <c r="NLA8" s="36"/>
      <c r="NLB8" s="36"/>
      <c r="NLC8" s="36"/>
      <c r="NLD8" s="36"/>
      <c r="NLE8" s="36"/>
      <c r="NLF8" s="36"/>
      <c r="NLG8" s="36"/>
      <c r="NLH8" s="36"/>
      <c r="NLI8" s="36"/>
      <c r="NLJ8" s="36"/>
      <c r="NLK8" s="36"/>
      <c r="NLL8" s="36"/>
      <c r="NLM8" s="36"/>
      <c r="NLN8" s="36"/>
      <c r="NLO8" s="36"/>
      <c r="NLP8" s="36"/>
      <c r="NLQ8" s="36"/>
      <c r="NLR8" s="36"/>
      <c r="NLS8" s="36"/>
      <c r="NLT8" s="36"/>
      <c r="NLU8" s="36"/>
      <c r="NLV8" s="36"/>
      <c r="NLW8" s="36"/>
      <c r="NLX8" s="36"/>
      <c r="NLY8" s="36"/>
      <c r="NLZ8" s="36"/>
      <c r="NMA8" s="36"/>
      <c r="NMB8" s="36"/>
      <c r="NMC8" s="36"/>
      <c r="NMD8" s="36"/>
      <c r="NME8" s="36"/>
      <c r="NMF8" s="36"/>
      <c r="NMG8" s="36"/>
      <c r="NMH8" s="36"/>
      <c r="NMI8" s="36"/>
      <c r="NMJ8" s="36"/>
      <c r="NMK8" s="36"/>
      <c r="NML8" s="36"/>
      <c r="NMM8" s="36"/>
      <c r="NMN8" s="36"/>
      <c r="NMO8" s="36"/>
      <c r="NMP8" s="36"/>
      <c r="NMQ8" s="36"/>
      <c r="NMR8" s="36"/>
      <c r="NMS8" s="36"/>
      <c r="NMT8" s="36"/>
      <c r="NMU8" s="36"/>
      <c r="NMV8" s="36"/>
      <c r="NMW8" s="36"/>
      <c r="NMX8" s="36"/>
      <c r="NMY8" s="36"/>
      <c r="NMZ8" s="36"/>
      <c r="NNA8" s="36"/>
      <c r="NNB8" s="36"/>
      <c r="NNC8" s="36"/>
      <c r="NND8" s="36"/>
      <c r="NNE8" s="36"/>
      <c r="NNF8" s="36"/>
      <c r="NNG8" s="36"/>
      <c r="NNH8" s="36"/>
      <c r="NNI8" s="36"/>
      <c r="NNJ8" s="36"/>
      <c r="NNK8" s="36"/>
      <c r="NNL8" s="36"/>
      <c r="NNM8" s="36"/>
      <c r="NNN8" s="36"/>
      <c r="NNO8" s="36"/>
      <c r="NNP8" s="36"/>
      <c r="NNQ8" s="36"/>
      <c r="NNR8" s="36"/>
      <c r="NNS8" s="36"/>
      <c r="NNT8" s="36"/>
      <c r="NNU8" s="36"/>
      <c r="NNV8" s="36"/>
      <c r="NNW8" s="36"/>
      <c r="NNX8" s="36"/>
      <c r="NNY8" s="36"/>
      <c r="NNZ8" s="36"/>
      <c r="NOA8" s="36"/>
      <c r="NOB8" s="36"/>
      <c r="NOC8" s="36"/>
      <c r="NOD8" s="36"/>
      <c r="NOE8" s="36"/>
      <c r="NOF8" s="36"/>
      <c r="NOG8" s="36"/>
      <c r="NOH8" s="36"/>
      <c r="NOI8" s="36"/>
      <c r="NOJ8" s="36"/>
      <c r="NOK8" s="36"/>
      <c r="NOL8" s="36"/>
      <c r="NOM8" s="36"/>
      <c r="NON8" s="36"/>
      <c r="NOO8" s="36"/>
      <c r="NOP8" s="36"/>
      <c r="NOQ8" s="36"/>
      <c r="NOR8" s="36"/>
      <c r="NOS8" s="36"/>
      <c r="NOT8" s="36"/>
      <c r="NOU8" s="36"/>
      <c r="NOV8" s="36"/>
      <c r="NOW8" s="36"/>
      <c r="NOX8" s="36"/>
      <c r="NOY8" s="36"/>
      <c r="NOZ8" s="36"/>
      <c r="NPA8" s="36"/>
      <c r="NPB8" s="36"/>
      <c r="NPC8" s="36"/>
      <c r="NPD8" s="36"/>
      <c r="NPE8" s="36"/>
      <c r="NPF8" s="36"/>
      <c r="NPG8" s="36"/>
      <c r="NPH8" s="36"/>
      <c r="NPI8" s="36"/>
      <c r="NPJ8" s="36"/>
      <c r="NPK8" s="36"/>
      <c r="NPL8" s="36"/>
      <c r="NPM8" s="36"/>
      <c r="NPN8" s="36"/>
      <c r="NPO8" s="36"/>
      <c r="NPP8" s="36"/>
      <c r="NPQ8" s="36"/>
      <c r="NPR8" s="36"/>
      <c r="NPS8" s="36"/>
      <c r="NPT8" s="36"/>
      <c r="NPU8" s="36"/>
      <c r="NPV8" s="36"/>
      <c r="NPW8" s="36"/>
      <c r="NPX8" s="36"/>
      <c r="NPY8" s="36"/>
      <c r="NPZ8" s="36"/>
      <c r="NQA8" s="36"/>
      <c r="NQB8" s="36"/>
      <c r="NQC8" s="36"/>
      <c r="NQD8" s="36"/>
      <c r="NQE8" s="36"/>
      <c r="NQF8" s="36"/>
      <c r="NQG8" s="36"/>
      <c r="NQH8" s="36"/>
      <c r="NQI8" s="36"/>
      <c r="NQJ8" s="36"/>
      <c r="NQK8" s="36"/>
      <c r="NQL8" s="36"/>
      <c r="NQM8" s="36"/>
      <c r="NQN8" s="36"/>
      <c r="NQO8" s="36"/>
      <c r="NQP8" s="36"/>
      <c r="NQQ8" s="36"/>
      <c r="NQR8" s="36"/>
      <c r="NQS8" s="36"/>
      <c r="NQT8" s="36"/>
      <c r="NQU8" s="36"/>
      <c r="NQV8" s="36"/>
      <c r="NQW8" s="36"/>
      <c r="NQX8" s="36"/>
      <c r="NQY8" s="36"/>
      <c r="NQZ8" s="36"/>
      <c r="NRA8" s="36"/>
      <c r="NRB8" s="36"/>
      <c r="NRC8" s="36"/>
      <c r="NRD8" s="36"/>
      <c r="NRE8" s="36"/>
      <c r="NRF8" s="36"/>
      <c r="NRG8" s="36"/>
      <c r="NRH8" s="36"/>
      <c r="NRI8" s="36"/>
      <c r="NRJ8" s="36"/>
      <c r="NRK8" s="36"/>
      <c r="NRL8" s="36"/>
      <c r="NRM8" s="36"/>
      <c r="NRN8" s="36"/>
      <c r="NRO8" s="36"/>
      <c r="NRP8" s="36"/>
      <c r="NRQ8" s="36"/>
      <c r="NRR8" s="36"/>
      <c r="NRS8" s="36"/>
      <c r="NRT8" s="36"/>
      <c r="NRU8" s="36"/>
      <c r="NRV8" s="36"/>
      <c r="NRW8" s="36"/>
      <c r="NRX8" s="36"/>
      <c r="NRY8" s="36"/>
      <c r="NRZ8" s="36"/>
      <c r="NSA8" s="36"/>
      <c r="NSB8" s="36"/>
      <c r="NSC8" s="36"/>
      <c r="NSD8" s="36"/>
      <c r="NSE8" s="36"/>
      <c r="NSF8" s="36"/>
      <c r="NSG8" s="36"/>
      <c r="NSH8" s="36"/>
      <c r="NSI8" s="36"/>
      <c r="NSJ8" s="36"/>
      <c r="NSK8" s="36"/>
      <c r="NSL8" s="36"/>
      <c r="NSM8" s="36"/>
      <c r="NSN8" s="36"/>
      <c r="NSO8" s="36"/>
      <c r="NSP8" s="36"/>
      <c r="NSQ8" s="36"/>
      <c r="NSR8" s="36"/>
      <c r="NSS8" s="36"/>
      <c r="NST8" s="36"/>
      <c r="NSU8" s="36"/>
      <c r="NSV8" s="36"/>
      <c r="NSW8" s="36"/>
      <c r="NSX8" s="36"/>
      <c r="NSY8" s="36"/>
      <c r="NSZ8" s="36"/>
      <c r="NTA8" s="36"/>
      <c r="NTB8" s="36"/>
      <c r="NTC8" s="36"/>
      <c r="NTD8" s="36"/>
      <c r="NTE8" s="36"/>
      <c r="NTF8" s="36"/>
      <c r="NTG8" s="36"/>
      <c r="NTH8" s="36"/>
      <c r="NTI8" s="36"/>
      <c r="NTJ8" s="36"/>
      <c r="NTK8" s="36"/>
      <c r="NTL8" s="36"/>
      <c r="NTM8" s="36"/>
      <c r="NTN8" s="36"/>
      <c r="NTO8" s="36"/>
      <c r="NTP8" s="36"/>
      <c r="NTQ8" s="36"/>
      <c r="NTR8" s="36"/>
      <c r="NTS8" s="36"/>
      <c r="NTT8" s="36"/>
      <c r="NTU8" s="36"/>
      <c r="NTV8" s="36"/>
      <c r="NTW8" s="36"/>
      <c r="NTX8" s="36"/>
      <c r="NTY8" s="36"/>
      <c r="NTZ8" s="36"/>
      <c r="NUA8" s="36"/>
      <c r="NUB8" s="36"/>
      <c r="NUC8" s="36"/>
      <c r="NUD8" s="36"/>
      <c r="NUE8" s="36"/>
      <c r="NUF8" s="36"/>
      <c r="NUG8" s="36"/>
      <c r="NUH8" s="36"/>
      <c r="NUI8" s="36"/>
      <c r="NUJ8" s="36"/>
      <c r="NUK8" s="36"/>
      <c r="NUL8" s="36"/>
      <c r="NUM8" s="36"/>
      <c r="NUN8" s="36"/>
      <c r="NUO8" s="36"/>
      <c r="NUP8" s="36"/>
      <c r="NUQ8" s="36"/>
      <c r="NUR8" s="36"/>
      <c r="NUS8" s="36"/>
      <c r="NUT8" s="36"/>
      <c r="NUU8" s="36"/>
      <c r="NUV8" s="36"/>
      <c r="NUW8" s="36"/>
      <c r="NUX8" s="36"/>
      <c r="NUY8" s="36"/>
      <c r="NUZ8" s="36"/>
      <c r="NVA8" s="36"/>
      <c r="NVB8" s="36"/>
      <c r="NVC8" s="36"/>
      <c r="NVD8" s="36"/>
      <c r="NVE8" s="36"/>
      <c r="NVF8" s="36"/>
      <c r="NVG8" s="36"/>
      <c r="NVH8" s="36"/>
      <c r="NVI8" s="36"/>
      <c r="NVJ8" s="36"/>
      <c r="NVK8" s="36"/>
      <c r="NVL8" s="36"/>
      <c r="NVM8" s="36"/>
      <c r="NVN8" s="36"/>
      <c r="NVO8" s="36"/>
      <c r="NVP8" s="36"/>
      <c r="NVQ8" s="36"/>
      <c r="NVR8" s="36"/>
      <c r="NVS8" s="36"/>
      <c r="NVT8" s="36"/>
      <c r="NVU8" s="36"/>
      <c r="NVV8" s="36"/>
      <c r="NVW8" s="36"/>
      <c r="NVX8" s="36"/>
      <c r="NVY8" s="36"/>
      <c r="NVZ8" s="36"/>
      <c r="NWA8" s="36"/>
      <c r="NWB8" s="36"/>
      <c r="NWC8" s="36"/>
      <c r="NWD8" s="36"/>
      <c r="NWE8" s="36"/>
      <c r="NWF8" s="36"/>
      <c r="NWG8" s="36"/>
      <c r="NWH8" s="36"/>
      <c r="NWI8" s="36"/>
      <c r="NWJ8" s="36"/>
      <c r="NWK8" s="36"/>
      <c r="NWL8" s="36"/>
      <c r="NWM8" s="36"/>
      <c r="NWN8" s="36"/>
      <c r="NWO8" s="36"/>
      <c r="NWP8" s="36"/>
      <c r="NWQ8" s="36"/>
      <c r="NWR8" s="36"/>
      <c r="NWS8" s="36"/>
      <c r="NWT8" s="36"/>
      <c r="NWU8" s="36"/>
      <c r="NWV8" s="36"/>
      <c r="NWW8" s="36"/>
      <c r="NWX8" s="36"/>
      <c r="NWY8" s="36"/>
      <c r="NWZ8" s="36"/>
      <c r="NXA8" s="36"/>
      <c r="NXB8" s="36"/>
      <c r="NXC8" s="36"/>
      <c r="NXD8" s="36"/>
      <c r="NXE8" s="36"/>
      <c r="NXF8" s="36"/>
      <c r="NXG8" s="36"/>
      <c r="NXH8" s="36"/>
      <c r="NXI8" s="36"/>
      <c r="NXJ8" s="36"/>
      <c r="NXK8" s="36"/>
      <c r="NXL8" s="36"/>
      <c r="NXM8" s="36"/>
      <c r="NXN8" s="36"/>
      <c r="NXO8" s="36"/>
      <c r="NXP8" s="36"/>
      <c r="NXQ8" s="36"/>
      <c r="NXR8" s="36"/>
      <c r="NXS8" s="36"/>
      <c r="NXT8" s="36"/>
      <c r="NXU8" s="36"/>
      <c r="NXV8" s="36"/>
      <c r="NXW8" s="36"/>
      <c r="NXX8" s="36"/>
      <c r="NXY8" s="36"/>
      <c r="NXZ8" s="36"/>
      <c r="NYA8" s="36"/>
      <c r="NYB8" s="36"/>
      <c r="NYC8" s="36"/>
      <c r="NYD8" s="36"/>
      <c r="NYE8" s="36"/>
      <c r="NYF8" s="36"/>
      <c r="NYG8" s="36"/>
      <c r="NYH8" s="36"/>
      <c r="NYI8" s="36"/>
      <c r="NYJ8" s="36"/>
      <c r="NYK8" s="36"/>
      <c r="NYL8" s="36"/>
      <c r="NYM8" s="36"/>
      <c r="NYN8" s="36"/>
      <c r="NYO8" s="36"/>
      <c r="NYP8" s="36"/>
      <c r="NYQ8" s="36"/>
      <c r="NYR8" s="36"/>
      <c r="NYS8" s="36"/>
      <c r="NYT8" s="36"/>
      <c r="NYU8" s="36"/>
      <c r="NYV8" s="36"/>
      <c r="NYW8" s="36"/>
      <c r="NYX8" s="36"/>
      <c r="NYY8" s="36"/>
      <c r="NYZ8" s="36"/>
      <c r="NZA8" s="36"/>
      <c r="NZB8" s="36"/>
      <c r="NZC8" s="36"/>
      <c r="NZD8" s="36"/>
      <c r="NZE8" s="36"/>
      <c r="NZF8" s="36"/>
      <c r="NZG8" s="36"/>
      <c r="NZH8" s="36"/>
      <c r="NZI8" s="36"/>
      <c r="NZJ8" s="36"/>
      <c r="NZK8" s="36"/>
      <c r="NZL8" s="36"/>
      <c r="NZM8" s="36"/>
      <c r="NZN8" s="36"/>
      <c r="NZO8" s="36"/>
      <c r="NZP8" s="36"/>
      <c r="NZQ8" s="36"/>
      <c r="NZR8" s="36"/>
      <c r="NZS8" s="36"/>
      <c r="NZT8" s="36"/>
      <c r="NZU8" s="36"/>
      <c r="NZV8" s="36"/>
      <c r="NZW8" s="36"/>
      <c r="NZX8" s="36"/>
      <c r="NZY8" s="36"/>
      <c r="NZZ8" s="36"/>
      <c r="OAA8" s="36"/>
      <c r="OAB8" s="36"/>
      <c r="OAC8" s="36"/>
      <c r="OAD8" s="36"/>
      <c r="OAE8" s="36"/>
      <c r="OAF8" s="36"/>
      <c r="OAG8" s="36"/>
      <c r="OAH8" s="36"/>
      <c r="OAI8" s="36"/>
      <c r="OAJ8" s="36"/>
      <c r="OAK8" s="36"/>
      <c r="OAL8" s="36"/>
      <c r="OAM8" s="36"/>
      <c r="OAN8" s="36"/>
      <c r="OAO8" s="36"/>
      <c r="OAP8" s="36"/>
      <c r="OAQ8" s="36"/>
      <c r="OAR8" s="36"/>
      <c r="OAS8" s="36"/>
      <c r="OAT8" s="36"/>
      <c r="OAU8" s="36"/>
      <c r="OAV8" s="36"/>
      <c r="OAW8" s="36"/>
      <c r="OAX8" s="36"/>
      <c r="OAY8" s="36"/>
      <c r="OAZ8" s="36"/>
      <c r="OBA8" s="36"/>
      <c r="OBB8" s="36"/>
      <c r="OBC8" s="36"/>
      <c r="OBD8" s="36"/>
      <c r="OBE8" s="36"/>
      <c r="OBF8" s="36"/>
      <c r="OBG8" s="36"/>
      <c r="OBH8" s="36"/>
      <c r="OBI8" s="36"/>
      <c r="OBJ8" s="36"/>
      <c r="OBK8" s="36"/>
      <c r="OBL8" s="36"/>
      <c r="OBM8" s="36"/>
      <c r="OBN8" s="36"/>
      <c r="OBO8" s="36"/>
      <c r="OBP8" s="36"/>
      <c r="OBQ8" s="36"/>
      <c r="OBR8" s="36"/>
      <c r="OBS8" s="36"/>
      <c r="OBT8" s="36"/>
      <c r="OBU8" s="36"/>
      <c r="OBV8" s="36"/>
      <c r="OBW8" s="36"/>
      <c r="OBX8" s="36"/>
      <c r="OBY8" s="36"/>
      <c r="OBZ8" s="36"/>
      <c r="OCA8" s="36"/>
      <c r="OCB8" s="36"/>
      <c r="OCC8" s="36"/>
      <c r="OCD8" s="36"/>
      <c r="OCE8" s="36"/>
      <c r="OCF8" s="36"/>
      <c r="OCG8" s="36"/>
      <c r="OCH8" s="36"/>
      <c r="OCI8" s="36"/>
      <c r="OCJ8" s="36"/>
      <c r="OCK8" s="36"/>
      <c r="OCL8" s="36"/>
      <c r="OCM8" s="36"/>
      <c r="OCN8" s="36"/>
      <c r="OCO8" s="36"/>
      <c r="OCP8" s="36"/>
      <c r="OCQ8" s="36"/>
      <c r="OCR8" s="36"/>
      <c r="OCS8" s="36"/>
      <c r="OCT8" s="36"/>
      <c r="OCU8" s="36"/>
      <c r="OCV8" s="36"/>
      <c r="OCW8" s="36"/>
      <c r="OCX8" s="36"/>
      <c r="OCY8" s="36"/>
      <c r="OCZ8" s="36"/>
      <c r="ODA8" s="36"/>
      <c r="ODB8" s="36"/>
      <c r="ODC8" s="36"/>
      <c r="ODD8" s="36"/>
      <c r="ODE8" s="36"/>
      <c r="ODF8" s="36"/>
      <c r="ODG8" s="36"/>
      <c r="ODH8" s="36"/>
      <c r="ODI8" s="36"/>
      <c r="ODJ8" s="36"/>
      <c r="ODK8" s="36"/>
      <c r="ODL8" s="36"/>
      <c r="ODM8" s="36"/>
      <c r="ODN8" s="36"/>
      <c r="ODO8" s="36"/>
      <c r="ODP8" s="36"/>
      <c r="ODQ8" s="36"/>
      <c r="ODR8" s="36"/>
      <c r="ODS8" s="36"/>
      <c r="ODT8" s="36"/>
      <c r="ODU8" s="36"/>
      <c r="ODV8" s="36"/>
      <c r="ODW8" s="36"/>
      <c r="ODX8" s="36"/>
      <c r="ODY8" s="36"/>
      <c r="ODZ8" s="36"/>
      <c r="OEA8" s="36"/>
      <c r="OEB8" s="36"/>
      <c r="OEC8" s="36"/>
      <c r="OED8" s="36"/>
      <c r="OEE8" s="36"/>
      <c r="OEF8" s="36"/>
      <c r="OEG8" s="36"/>
      <c r="OEH8" s="36"/>
      <c r="OEI8" s="36"/>
      <c r="OEJ8" s="36"/>
      <c r="OEK8" s="36"/>
      <c r="OEL8" s="36"/>
      <c r="OEM8" s="36"/>
      <c r="OEN8" s="36"/>
      <c r="OEO8" s="36"/>
      <c r="OEP8" s="36"/>
      <c r="OEQ8" s="36"/>
      <c r="OER8" s="36"/>
      <c r="OES8" s="36"/>
      <c r="OET8" s="36"/>
      <c r="OEU8" s="36"/>
      <c r="OEV8" s="36"/>
      <c r="OEW8" s="36"/>
      <c r="OEX8" s="36"/>
      <c r="OEY8" s="36"/>
      <c r="OEZ8" s="36"/>
      <c r="OFA8" s="36"/>
      <c r="OFB8" s="36"/>
      <c r="OFC8" s="36"/>
      <c r="OFD8" s="36"/>
      <c r="OFE8" s="36"/>
      <c r="OFF8" s="36"/>
      <c r="OFG8" s="36"/>
      <c r="OFH8" s="36"/>
      <c r="OFI8" s="36"/>
      <c r="OFJ8" s="36"/>
      <c r="OFK8" s="36"/>
      <c r="OFL8" s="36"/>
      <c r="OFM8" s="36"/>
      <c r="OFN8" s="36"/>
      <c r="OFO8" s="36"/>
      <c r="OFP8" s="36"/>
      <c r="OFQ8" s="36"/>
      <c r="OFR8" s="36"/>
      <c r="OFS8" s="36"/>
      <c r="OFT8" s="36"/>
      <c r="OFU8" s="36"/>
      <c r="OFV8" s="36"/>
      <c r="OFW8" s="36"/>
      <c r="OFX8" s="36"/>
      <c r="OFY8" s="36"/>
      <c r="OFZ8" s="36"/>
      <c r="OGA8" s="36"/>
      <c r="OGB8" s="36"/>
      <c r="OGC8" s="36"/>
      <c r="OGD8" s="36"/>
      <c r="OGE8" s="36"/>
      <c r="OGF8" s="36"/>
      <c r="OGG8" s="36"/>
      <c r="OGH8" s="36"/>
      <c r="OGI8" s="36"/>
      <c r="OGJ8" s="36"/>
      <c r="OGK8" s="36"/>
      <c r="OGL8" s="36"/>
      <c r="OGM8" s="36"/>
      <c r="OGN8" s="36"/>
      <c r="OGO8" s="36"/>
      <c r="OGP8" s="36"/>
      <c r="OGQ8" s="36"/>
      <c r="OGR8" s="36"/>
      <c r="OGS8" s="36"/>
      <c r="OGT8" s="36"/>
      <c r="OGU8" s="36"/>
      <c r="OGV8" s="36"/>
      <c r="OGW8" s="36"/>
      <c r="OGX8" s="36"/>
      <c r="OGY8" s="36"/>
      <c r="OGZ8" s="36"/>
      <c r="OHA8" s="36"/>
      <c r="OHB8" s="36"/>
      <c r="OHC8" s="36"/>
      <c r="OHD8" s="36"/>
      <c r="OHE8" s="36"/>
      <c r="OHF8" s="36"/>
      <c r="OHG8" s="36"/>
      <c r="OHH8" s="36"/>
      <c r="OHI8" s="36"/>
      <c r="OHJ8" s="36"/>
      <c r="OHK8" s="36"/>
      <c r="OHL8" s="36"/>
      <c r="OHM8" s="36"/>
      <c r="OHN8" s="36"/>
      <c r="OHO8" s="36"/>
      <c r="OHP8" s="36"/>
      <c r="OHQ8" s="36"/>
      <c r="OHR8" s="36"/>
      <c r="OHS8" s="36"/>
      <c r="OHT8" s="36"/>
      <c r="OHU8" s="36"/>
      <c r="OHV8" s="36"/>
      <c r="OHW8" s="36"/>
      <c r="OHX8" s="36"/>
      <c r="OHY8" s="36"/>
      <c r="OHZ8" s="36"/>
      <c r="OIA8" s="36"/>
      <c r="OIB8" s="36"/>
      <c r="OIC8" s="36"/>
      <c r="OID8" s="36"/>
      <c r="OIE8" s="36"/>
      <c r="OIF8" s="36"/>
      <c r="OIG8" s="36"/>
      <c r="OIH8" s="36"/>
      <c r="OII8" s="36"/>
      <c r="OIJ8" s="36"/>
      <c r="OIK8" s="36"/>
      <c r="OIL8" s="36"/>
      <c r="OIM8" s="36"/>
      <c r="OIN8" s="36"/>
      <c r="OIO8" s="36"/>
      <c r="OIP8" s="36"/>
      <c r="OIQ8" s="36"/>
      <c r="OIR8" s="36"/>
      <c r="OIS8" s="36"/>
      <c r="OIT8" s="36"/>
      <c r="OIU8" s="36"/>
      <c r="OIV8" s="36"/>
      <c r="OIW8" s="36"/>
      <c r="OIX8" s="36"/>
      <c r="OIY8" s="36"/>
      <c r="OIZ8" s="36"/>
      <c r="OJA8" s="36"/>
      <c r="OJB8" s="36"/>
      <c r="OJC8" s="36"/>
      <c r="OJD8" s="36"/>
      <c r="OJE8" s="36"/>
      <c r="OJF8" s="36"/>
      <c r="OJG8" s="36"/>
      <c r="OJH8" s="36"/>
      <c r="OJI8" s="36"/>
      <c r="OJJ8" s="36"/>
      <c r="OJK8" s="36"/>
      <c r="OJL8" s="36"/>
      <c r="OJM8" s="36"/>
      <c r="OJN8" s="36"/>
      <c r="OJO8" s="36"/>
      <c r="OJP8" s="36"/>
      <c r="OJQ8" s="36"/>
      <c r="OJR8" s="36"/>
      <c r="OJS8" s="36"/>
      <c r="OJT8" s="36"/>
      <c r="OJU8" s="36"/>
      <c r="OJV8" s="36"/>
      <c r="OJW8" s="36"/>
      <c r="OJX8" s="36"/>
      <c r="OJY8" s="36"/>
      <c r="OJZ8" s="36"/>
      <c r="OKA8" s="36"/>
      <c r="OKB8" s="36"/>
      <c r="OKC8" s="36"/>
      <c r="OKD8" s="36"/>
      <c r="OKE8" s="36"/>
      <c r="OKF8" s="36"/>
      <c r="OKG8" s="36"/>
      <c r="OKH8" s="36"/>
      <c r="OKI8" s="36"/>
      <c r="OKJ8" s="36"/>
      <c r="OKK8" s="36"/>
      <c r="OKL8" s="36"/>
      <c r="OKM8" s="36"/>
      <c r="OKN8" s="36"/>
      <c r="OKO8" s="36"/>
      <c r="OKP8" s="36"/>
      <c r="OKQ8" s="36"/>
      <c r="OKR8" s="36"/>
      <c r="OKS8" s="36"/>
      <c r="OKT8" s="36"/>
      <c r="OKU8" s="36"/>
      <c r="OKV8" s="36"/>
      <c r="OKW8" s="36"/>
      <c r="OKX8" s="36"/>
      <c r="OKY8" s="36"/>
      <c r="OKZ8" s="36"/>
      <c r="OLA8" s="36"/>
      <c r="OLB8" s="36"/>
      <c r="OLC8" s="36"/>
      <c r="OLD8" s="36"/>
      <c r="OLE8" s="36"/>
      <c r="OLF8" s="36"/>
      <c r="OLG8" s="36"/>
      <c r="OLH8" s="36"/>
      <c r="OLI8" s="36"/>
      <c r="OLJ8" s="36"/>
      <c r="OLK8" s="36"/>
      <c r="OLL8" s="36"/>
      <c r="OLM8" s="36"/>
      <c r="OLN8" s="36"/>
      <c r="OLO8" s="36"/>
      <c r="OLP8" s="36"/>
      <c r="OLQ8" s="36"/>
      <c r="OLR8" s="36"/>
      <c r="OLS8" s="36"/>
      <c r="OLT8" s="36"/>
      <c r="OLU8" s="36"/>
      <c r="OLV8" s="36"/>
      <c r="OLW8" s="36"/>
      <c r="OLX8" s="36"/>
      <c r="OLY8" s="36"/>
      <c r="OLZ8" s="36"/>
      <c r="OMA8" s="36"/>
      <c r="OMB8" s="36"/>
      <c r="OMC8" s="36"/>
      <c r="OMD8" s="36"/>
      <c r="OME8" s="36"/>
      <c r="OMF8" s="36"/>
      <c r="OMG8" s="36"/>
      <c r="OMH8" s="36"/>
      <c r="OMI8" s="36"/>
      <c r="OMJ8" s="36"/>
      <c r="OMK8" s="36"/>
      <c r="OML8" s="36"/>
      <c r="OMM8" s="36"/>
      <c r="OMN8" s="36"/>
      <c r="OMO8" s="36"/>
      <c r="OMP8" s="36"/>
      <c r="OMQ8" s="36"/>
      <c r="OMR8" s="36"/>
      <c r="OMS8" s="36"/>
      <c r="OMT8" s="36"/>
      <c r="OMU8" s="36"/>
      <c r="OMV8" s="36"/>
      <c r="OMW8" s="36"/>
      <c r="OMX8" s="36"/>
      <c r="OMY8" s="36"/>
      <c r="OMZ8" s="36"/>
      <c r="ONA8" s="36"/>
      <c r="ONB8" s="36"/>
      <c r="ONC8" s="36"/>
      <c r="OND8" s="36"/>
      <c r="ONE8" s="36"/>
      <c r="ONF8" s="36"/>
      <c r="ONG8" s="36"/>
      <c r="ONH8" s="36"/>
      <c r="ONI8" s="36"/>
      <c r="ONJ8" s="36"/>
      <c r="ONK8" s="36"/>
      <c r="ONL8" s="36"/>
      <c r="ONM8" s="36"/>
      <c r="ONN8" s="36"/>
      <c r="ONO8" s="36"/>
      <c r="ONP8" s="36"/>
      <c r="ONQ8" s="36"/>
      <c r="ONR8" s="36"/>
      <c r="ONS8" s="36"/>
      <c r="ONT8" s="36"/>
      <c r="ONU8" s="36"/>
      <c r="ONV8" s="36"/>
      <c r="ONW8" s="36"/>
      <c r="ONX8" s="36"/>
      <c r="ONY8" s="36"/>
      <c r="ONZ8" s="36"/>
      <c r="OOA8" s="36"/>
      <c r="OOB8" s="36"/>
      <c r="OOC8" s="36"/>
      <c r="OOD8" s="36"/>
      <c r="OOE8" s="36"/>
      <c r="OOF8" s="36"/>
      <c r="OOG8" s="36"/>
      <c r="OOH8" s="36"/>
      <c r="OOI8" s="36"/>
      <c r="OOJ8" s="36"/>
      <c r="OOK8" s="36"/>
      <c r="OOL8" s="36"/>
      <c r="OOM8" s="36"/>
      <c r="OON8" s="36"/>
      <c r="OOO8" s="36"/>
      <c r="OOP8" s="36"/>
      <c r="OOQ8" s="36"/>
      <c r="OOR8" s="36"/>
      <c r="OOS8" s="36"/>
      <c r="OOT8" s="36"/>
      <c r="OOU8" s="36"/>
      <c r="OOV8" s="36"/>
      <c r="OOW8" s="36"/>
      <c r="OOX8" s="36"/>
      <c r="OOY8" s="36"/>
      <c r="OOZ8" s="36"/>
      <c r="OPA8" s="36"/>
      <c r="OPB8" s="36"/>
      <c r="OPC8" s="36"/>
      <c r="OPD8" s="36"/>
      <c r="OPE8" s="36"/>
      <c r="OPF8" s="36"/>
      <c r="OPG8" s="36"/>
      <c r="OPH8" s="36"/>
      <c r="OPI8" s="36"/>
      <c r="OPJ8" s="36"/>
      <c r="OPK8" s="36"/>
      <c r="OPL8" s="36"/>
      <c r="OPM8" s="36"/>
      <c r="OPN8" s="36"/>
      <c r="OPO8" s="36"/>
      <c r="OPP8" s="36"/>
      <c r="OPQ8" s="36"/>
      <c r="OPR8" s="36"/>
      <c r="OPS8" s="36"/>
      <c r="OPT8" s="36"/>
      <c r="OPU8" s="36"/>
      <c r="OPV8" s="36"/>
      <c r="OPW8" s="36"/>
      <c r="OPX8" s="36"/>
      <c r="OPY8" s="36"/>
      <c r="OPZ8" s="36"/>
      <c r="OQA8" s="36"/>
      <c r="OQB8" s="36"/>
      <c r="OQC8" s="36"/>
      <c r="OQD8" s="36"/>
      <c r="OQE8" s="36"/>
      <c r="OQF8" s="36"/>
      <c r="OQG8" s="36"/>
      <c r="OQH8" s="36"/>
      <c r="OQI8" s="36"/>
      <c r="OQJ8" s="36"/>
      <c r="OQK8" s="36"/>
      <c r="OQL8" s="36"/>
      <c r="OQM8" s="36"/>
      <c r="OQN8" s="36"/>
      <c r="OQO8" s="36"/>
      <c r="OQP8" s="36"/>
      <c r="OQQ8" s="36"/>
      <c r="OQR8" s="36"/>
      <c r="OQS8" s="36"/>
      <c r="OQT8" s="36"/>
      <c r="OQU8" s="36"/>
      <c r="OQV8" s="36"/>
      <c r="OQW8" s="36"/>
      <c r="OQX8" s="36"/>
      <c r="OQY8" s="36"/>
      <c r="OQZ8" s="36"/>
      <c r="ORA8" s="36"/>
      <c r="ORB8" s="36"/>
      <c r="ORC8" s="36"/>
      <c r="ORD8" s="36"/>
      <c r="ORE8" s="36"/>
      <c r="ORF8" s="36"/>
      <c r="ORG8" s="36"/>
      <c r="ORH8" s="36"/>
      <c r="ORI8" s="36"/>
      <c r="ORJ8" s="36"/>
      <c r="ORK8" s="36"/>
      <c r="ORL8" s="36"/>
      <c r="ORM8" s="36"/>
      <c r="ORN8" s="36"/>
      <c r="ORO8" s="36"/>
      <c r="ORP8" s="36"/>
      <c r="ORQ8" s="36"/>
      <c r="ORR8" s="36"/>
      <c r="ORS8" s="36"/>
      <c r="ORT8" s="36"/>
      <c r="ORU8" s="36"/>
      <c r="ORV8" s="36"/>
      <c r="ORW8" s="36"/>
      <c r="ORX8" s="36"/>
      <c r="ORY8" s="36"/>
      <c r="ORZ8" s="36"/>
      <c r="OSA8" s="36"/>
      <c r="OSB8" s="36"/>
      <c r="OSC8" s="36"/>
      <c r="OSD8" s="36"/>
      <c r="OSE8" s="36"/>
      <c r="OSF8" s="36"/>
      <c r="OSG8" s="36"/>
      <c r="OSH8" s="36"/>
      <c r="OSI8" s="36"/>
      <c r="OSJ8" s="36"/>
      <c r="OSK8" s="36"/>
      <c r="OSL8" s="36"/>
      <c r="OSM8" s="36"/>
      <c r="OSN8" s="36"/>
      <c r="OSO8" s="36"/>
      <c r="OSP8" s="36"/>
      <c r="OSQ8" s="36"/>
      <c r="OSR8" s="36"/>
      <c r="OSS8" s="36"/>
      <c r="OST8" s="36"/>
      <c r="OSU8" s="36"/>
      <c r="OSV8" s="36"/>
      <c r="OSW8" s="36"/>
      <c r="OSX8" s="36"/>
      <c r="OSY8" s="36"/>
      <c r="OSZ8" s="36"/>
      <c r="OTA8" s="36"/>
      <c r="OTB8" s="36"/>
      <c r="OTC8" s="36"/>
      <c r="OTD8" s="36"/>
      <c r="OTE8" s="36"/>
      <c r="OTF8" s="36"/>
      <c r="OTG8" s="36"/>
      <c r="OTH8" s="36"/>
      <c r="OTI8" s="36"/>
      <c r="OTJ8" s="36"/>
      <c r="OTK8" s="36"/>
      <c r="OTL8" s="36"/>
      <c r="OTM8" s="36"/>
      <c r="OTN8" s="36"/>
      <c r="OTO8" s="36"/>
      <c r="OTP8" s="36"/>
      <c r="OTQ8" s="36"/>
      <c r="OTR8" s="36"/>
      <c r="OTS8" s="36"/>
      <c r="OTT8" s="36"/>
      <c r="OTU8" s="36"/>
      <c r="OTV8" s="36"/>
      <c r="OTW8" s="36"/>
      <c r="OTX8" s="36"/>
      <c r="OTY8" s="36"/>
      <c r="OTZ8" s="36"/>
      <c r="OUA8" s="36"/>
      <c r="OUB8" s="36"/>
      <c r="OUC8" s="36"/>
      <c r="OUD8" s="36"/>
      <c r="OUE8" s="36"/>
      <c r="OUF8" s="36"/>
      <c r="OUG8" s="36"/>
      <c r="OUH8" s="36"/>
      <c r="OUI8" s="36"/>
      <c r="OUJ8" s="36"/>
      <c r="OUK8" s="36"/>
      <c r="OUL8" s="36"/>
      <c r="OUM8" s="36"/>
      <c r="OUN8" s="36"/>
      <c r="OUO8" s="36"/>
      <c r="OUP8" s="36"/>
      <c r="OUQ8" s="36"/>
      <c r="OUR8" s="36"/>
      <c r="OUS8" s="36"/>
      <c r="OUT8" s="36"/>
      <c r="OUU8" s="36"/>
      <c r="OUV8" s="36"/>
      <c r="OUW8" s="36"/>
      <c r="OUX8" s="36"/>
      <c r="OUY8" s="36"/>
      <c r="OUZ8" s="36"/>
      <c r="OVA8" s="36"/>
      <c r="OVB8" s="36"/>
      <c r="OVC8" s="36"/>
      <c r="OVD8" s="36"/>
      <c r="OVE8" s="36"/>
      <c r="OVF8" s="36"/>
      <c r="OVG8" s="36"/>
      <c r="OVH8" s="36"/>
      <c r="OVI8" s="36"/>
      <c r="OVJ8" s="36"/>
      <c r="OVK8" s="36"/>
      <c r="OVL8" s="36"/>
      <c r="OVM8" s="36"/>
      <c r="OVN8" s="36"/>
      <c r="OVO8" s="36"/>
      <c r="OVP8" s="36"/>
      <c r="OVQ8" s="36"/>
      <c r="OVR8" s="36"/>
      <c r="OVS8" s="36"/>
      <c r="OVT8" s="36"/>
      <c r="OVU8" s="36"/>
      <c r="OVV8" s="36"/>
      <c r="OVW8" s="36"/>
      <c r="OVX8" s="36"/>
      <c r="OVY8" s="36"/>
      <c r="OVZ8" s="36"/>
      <c r="OWA8" s="36"/>
      <c r="OWB8" s="36"/>
      <c r="OWC8" s="36"/>
      <c r="OWD8" s="36"/>
      <c r="OWE8" s="36"/>
      <c r="OWF8" s="36"/>
      <c r="OWG8" s="36"/>
      <c r="OWH8" s="36"/>
      <c r="OWI8" s="36"/>
      <c r="OWJ8" s="36"/>
      <c r="OWK8" s="36"/>
      <c r="OWL8" s="36"/>
      <c r="OWM8" s="36"/>
      <c r="OWN8" s="36"/>
      <c r="OWO8" s="36"/>
      <c r="OWP8" s="36"/>
      <c r="OWQ8" s="36"/>
      <c r="OWR8" s="36"/>
      <c r="OWS8" s="36"/>
      <c r="OWT8" s="36"/>
      <c r="OWU8" s="36"/>
      <c r="OWV8" s="36"/>
      <c r="OWW8" s="36"/>
      <c r="OWX8" s="36"/>
      <c r="OWY8" s="36"/>
      <c r="OWZ8" s="36"/>
      <c r="OXA8" s="36"/>
      <c r="OXB8" s="36"/>
      <c r="OXC8" s="36"/>
      <c r="OXD8" s="36"/>
      <c r="OXE8" s="36"/>
      <c r="OXF8" s="36"/>
      <c r="OXG8" s="36"/>
      <c r="OXH8" s="36"/>
      <c r="OXI8" s="36"/>
      <c r="OXJ8" s="36"/>
      <c r="OXK8" s="36"/>
      <c r="OXL8" s="36"/>
      <c r="OXM8" s="36"/>
      <c r="OXN8" s="36"/>
      <c r="OXO8" s="36"/>
      <c r="OXP8" s="36"/>
      <c r="OXQ8" s="36"/>
      <c r="OXR8" s="36"/>
      <c r="OXS8" s="36"/>
      <c r="OXT8" s="36"/>
      <c r="OXU8" s="36"/>
      <c r="OXV8" s="36"/>
      <c r="OXW8" s="36"/>
      <c r="OXX8" s="36"/>
      <c r="OXY8" s="36"/>
      <c r="OXZ8" s="36"/>
      <c r="OYA8" s="36"/>
      <c r="OYB8" s="36"/>
      <c r="OYC8" s="36"/>
      <c r="OYD8" s="36"/>
      <c r="OYE8" s="36"/>
      <c r="OYF8" s="36"/>
      <c r="OYG8" s="36"/>
      <c r="OYH8" s="36"/>
      <c r="OYI8" s="36"/>
      <c r="OYJ8" s="36"/>
      <c r="OYK8" s="36"/>
      <c r="OYL8" s="36"/>
      <c r="OYM8" s="36"/>
      <c r="OYN8" s="36"/>
      <c r="OYO8" s="36"/>
      <c r="OYP8" s="36"/>
      <c r="OYQ8" s="36"/>
      <c r="OYR8" s="36"/>
      <c r="OYS8" s="36"/>
      <c r="OYT8" s="36"/>
      <c r="OYU8" s="36"/>
      <c r="OYV8" s="36"/>
      <c r="OYW8" s="36"/>
      <c r="OYX8" s="36"/>
      <c r="OYY8" s="36"/>
      <c r="OYZ8" s="36"/>
      <c r="OZA8" s="36"/>
      <c r="OZB8" s="36"/>
      <c r="OZC8" s="36"/>
      <c r="OZD8" s="36"/>
      <c r="OZE8" s="36"/>
      <c r="OZF8" s="36"/>
      <c r="OZG8" s="36"/>
      <c r="OZH8" s="36"/>
      <c r="OZI8" s="36"/>
      <c r="OZJ8" s="36"/>
      <c r="OZK8" s="36"/>
      <c r="OZL8" s="36"/>
      <c r="OZM8" s="36"/>
      <c r="OZN8" s="36"/>
      <c r="OZO8" s="36"/>
      <c r="OZP8" s="36"/>
      <c r="OZQ8" s="36"/>
      <c r="OZR8" s="36"/>
      <c r="OZS8" s="36"/>
      <c r="OZT8" s="36"/>
      <c r="OZU8" s="36"/>
      <c r="OZV8" s="36"/>
      <c r="OZW8" s="36"/>
      <c r="OZX8" s="36"/>
      <c r="OZY8" s="36"/>
      <c r="OZZ8" s="36"/>
      <c r="PAA8" s="36"/>
      <c r="PAB8" s="36"/>
      <c r="PAC8" s="36"/>
      <c r="PAD8" s="36"/>
      <c r="PAE8" s="36"/>
      <c r="PAF8" s="36"/>
      <c r="PAG8" s="36"/>
      <c r="PAH8" s="36"/>
      <c r="PAI8" s="36"/>
      <c r="PAJ8" s="36"/>
      <c r="PAK8" s="36"/>
      <c r="PAL8" s="36"/>
      <c r="PAM8" s="36"/>
      <c r="PAN8" s="36"/>
      <c r="PAO8" s="36"/>
      <c r="PAP8" s="36"/>
      <c r="PAQ8" s="36"/>
      <c r="PAR8" s="36"/>
      <c r="PAS8" s="36"/>
      <c r="PAT8" s="36"/>
      <c r="PAU8" s="36"/>
      <c r="PAV8" s="36"/>
      <c r="PAW8" s="36"/>
      <c r="PAX8" s="36"/>
      <c r="PAY8" s="36"/>
      <c r="PAZ8" s="36"/>
      <c r="PBA8" s="36"/>
      <c r="PBB8" s="36"/>
      <c r="PBC8" s="36"/>
      <c r="PBD8" s="36"/>
      <c r="PBE8" s="36"/>
      <c r="PBF8" s="36"/>
      <c r="PBG8" s="36"/>
      <c r="PBH8" s="36"/>
      <c r="PBI8" s="36"/>
      <c r="PBJ8" s="36"/>
      <c r="PBK8" s="36"/>
      <c r="PBL8" s="36"/>
      <c r="PBM8" s="36"/>
      <c r="PBN8" s="36"/>
      <c r="PBO8" s="36"/>
      <c r="PBP8" s="36"/>
      <c r="PBQ8" s="36"/>
      <c r="PBR8" s="36"/>
      <c r="PBS8" s="36"/>
      <c r="PBT8" s="36"/>
      <c r="PBU8" s="36"/>
      <c r="PBV8" s="36"/>
      <c r="PBW8" s="36"/>
      <c r="PBX8" s="36"/>
      <c r="PBY8" s="36"/>
      <c r="PBZ8" s="36"/>
      <c r="PCA8" s="36"/>
      <c r="PCB8" s="36"/>
      <c r="PCC8" s="36"/>
      <c r="PCD8" s="36"/>
      <c r="PCE8" s="36"/>
      <c r="PCF8" s="36"/>
      <c r="PCG8" s="36"/>
      <c r="PCH8" s="36"/>
      <c r="PCI8" s="36"/>
      <c r="PCJ8" s="36"/>
      <c r="PCK8" s="36"/>
      <c r="PCL8" s="36"/>
      <c r="PCM8" s="36"/>
      <c r="PCN8" s="36"/>
      <c r="PCO8" s="36"/>
      <c r="PCP8" s="36"/>
      <c r="PCQ8" s="36"/>
      <c r="PCR8" s="36"/>
      <c r="PCS8" s="36"/>
      <c r="PCT8" s="36"/>
      <c r="PCU8" s="36"/>
      <c r="PCV8" s="36"/>
      <c r="PCW8" s="36"/>
      <c r="PCX8" s="36"/>
      <c r="PCY8" s="36"/>
      <c r="PCZ8" s="36"/>
      <c r="PDA8" s="36"/>
      <c r="PDB8" s="36"/>
      <c r="PDC8" s="36"/>
      <c r="PDD8" s="36"/>
      <c r="PDE8" s="36"/>
      <c r="PDF8" s="36"/>
      <c r="PDG8" s="36"/>
      <c r="PDH8" s="36"/>
      <c r="PDI8" s="36"/>
      <c r="PDJ8" s="36"/>
      <c r="PDK8" s="36"/>
      <c r="PDL8" s="36"/>
      <c r="PDM8" s="36"/>
      <c r="PDN8" s="36"/>
      <c r="PDO8" s="36"/>
      <c r="PDP8" s="36"/>
      <c r="PDQ8" s="36"/>
      <c r="PDR8" s="36"/>
      <c r="PDS8" s="36"/>
      <c r="PDT8" s="36"/>
      <c r="PDU8" s="36"/>
      <c r="PDV8" s="36"/>
      <c r="PDW8" s="36"/>
      <c r="PDX8" s="36"/>
      <c r="PDY8" s="36"/>
      <c r="PDZ8" s="36"/>
      <c r="PEA8" s="36"/>
      <c r="PEB8" s="36"/>
      <c r="PEC8" s="36"/>
      <c r="PED8" s="36"/>
      <c r="PEE8" s="36"/>
      <c r="PEF8" s="36"/>
      <c r="PEG8" s="36"/>
      <c r="PEH8" s="36"/>
      <c r="PEI8" s="36"/>
      <c r="PEJ8" s="36"/>
      <c r="PEK8" s="36"/>
      <c r="PEL8" s="36"/>
      <c r="PEM8" s="36"/>
      <c r="PEN8" s="36"/>
      <c r="PEO8" s="36"/>
      <c r="PEP8" s="36"/>
      <c r="PEQ8" s="36"/>
      <c r="PER8" s="36"/>
      <c r="PES8" s="36"/>
      <c r="PET8" s="36"/>
      <c r="PEU8" s="36"/>
      <c r="PEV8" s="36"/>
      <c r="PEW8" s="36"/>
      <c r="PEX8" s="36"/>
      <c r="PEY8" s="36"/>
      <c r="PEZ8" s="36"/>
      <c r="PFA8" s="36"/>
      <c r="PFB8" s="36"/>
      <c r="PFC8" s="36"/>
      <c r="PFD8" s="36"/>
      <c r="PFE8" s="36"/>
      <c r="PFF8" s="36"/>
      <c r="PFG8" s="36"/>
      <c r="PFH8" s="36"/>
      <c r="PFI8" s="36"/>
      <c r="PFJ8" s="36"/>
      <c r="PFK8" s="36"/>
      <c r="PFL8" s="36"/>
      <c r="PFM8" s="36"/>
      <c r="PFN8" s="36"/>
      <c r="PFO8" s="36"/>
      <c r="PFP8" s="36"/>
      <c r="PFQ8" s="36"/>
      <c r="PFR8" s="36"/>
      <c r="PFS8" s="36"/>
      <c r="PFT8" s="36"/>
      <c r="PFU8" s="36"/>
      <c r="PFV8" s="36"/>
      <c r="PFW8" s="36"/>
      <c r="PFX8" s="36"/>
      <c r="PFY8" s="36"/>
      <c r="PFZ8" s="36"/>
      <c r="PGA8" s="36"/>
      <c r="PGB8" s="36"/>
      <c r="PGC8" s="36"/>
      <c r="PGD8" s="36"/>
      <c r="PGE8" s="36"/>
      <c r="PGF8" s="36"/>
      <c r="PGG8" s="36"/>
      <c r="PGH8" s="36"/>
      <c r="PGI8" s="36"/>
      <c r="PGJ8" s="36"/>
      <c r="PGK8" s="36"/>
      <c r="PGL8" s="36"/>
      <c r="PGM8" s="36"/>
      <c r="PGN8" s="36"/>
      <c r="PGO8" s="36"/>
      <c r="PGP8" s="36"/>
      <c r="PGQ8" s="36"/>
      <c r="PGR8" s="36"/>
      <c r="PGS8" s="36"/>
      <c r="PGT8" s="36"/>
      <c r="PGU8" s="36"/>
      <c r="PGV8" s="36"/>
      <c r="PGW8" s="36"/>
      <c r="PGX8" s="36"/>
      <c r="PGY8" s="36"/>
      <c r="PGZ8" s="36"/>
      <c r="PHA8" s="36"/>
      <c r="PHB8" s="36"/>
      <c r="PHC8" s="36"/>
      <c r="PHD8" s="36"/>
      <c r="PHE8" s="36"/>
      <c r="PHF8" s="36"/>
      <c r="PHG8" s="36"/>
      <c r="PHH8" s="36"/>
      <c r="PHI8" s="36"/>
      <c r="PHJ8" s="36"/>
      <c r="PHK8" s="36"/>
      <c r="PHL8" s="36"/>
      <c r="PHM8" s="36"/>
      <c r="PHN8" s="36"/>
      <c r="PHO8" s="36"/>
      <c r="PHP8" s="36"/>
      <c r="PHQ8" s="36"/>
      <c r="PHR8" s="36"/>
      <c r="PHS8" s="36"/>
      <c r="PHT8" s="36"/>
      <c r="PHU8" s="36"/>
      <c r="PHV8" s="36"/>
      <c r="PHW8" s="36"/>
      <c r="PHX8" s="36"/>
      <c r="PHY8" s="36"/>
      <c r="PHZ8" s="36"/>
      <c r="PIA8" s="36"/>
      <c r="PIB8" s="36"/>
      <c r="PIC8" s="36"/>
      <c r="PID8" s="36"/>
      <c r="PIE8" s="36"/>
      <c r="PIF8" s="36"/>
      <c r="PIG8" s="36"/>
      <c r="PIH8" s="36"/>
      <c r="PII8" s="36"/>
      <c r="PIJ8" s="36"/>
      <c r="PIK8" s="36"/>
      <c r="PIL8" s="36"/>
      <c r="PIM8" s="36"/>
      <c r="PIN8" s="36"/>
      <c r="PIO8" s="36"/>
      <c r="PIP8" s="36"/>
      <c r="PIQ8" s="36"/>
      <c r="PIR8" s="36"/>
      <c r="PIS8" s="36"/>
      <c r="PIT8" s="36"/>
      <c r="PIU8" s="36"/>
      <c r="PIV8" s="36"/>
      <c r="PIW8" s="36"/>
      <c r="PIX8" s="36"/>
      <c r="PIY8" s="36"/>
      <c r="PIZ8" s="36"/>
      <c r="PJA8" s="36"/>
      <c r="PJB8" s="36"/>
      <c r="PJC8" s="36"/>
      <c r="PJD8" s="36"/>
      <c r="PJE8" s="36"/>
      <c r="PJF8" s="36"/>
      <c r="PJG8" s="36"/>
      <c r="PJH8" s="36"/>
      <c r="PJI8" s="36"/>
      <c r="PJJ8" s="36"/>
      <c r="PJK8" s="36"/>
      <c r="PJL8" s="36"/>
      <c r="PJM8" s="36"/>
      <c r="PJN8" s="36"/>
      <c r="PJO8" s="36"/>
      <c r="PJP8" s="36"/>
      <c r="PJQ8" s="36"/>
      <c r="PJR8" s="36"/>
      <c r="PJS8" s="36"/>
      <c r="PJT8" s="36"/>
      <c r="PJU8" s="36"/>
      <c r="PJV8" s="36"/>
      <c r="PJW8" s="36"/>
      <c r="PJX8" s="36"/>
      <c r="PJY8" s="36"/>
      <c r="PJZ8" s="36"/>
      <c r="PKA8" s="36"/>
      <c r="PKB8" s="36"/>
      <c r="PKC8" s="36"/>
      <c r="PKD8" s="36"/>
      <c r="PKE8" s="36"/>
      <c r="PKF8" s="36"/>
      <c r="PKG8" s="36"/>
      <c r="PKH8" s="36"/>
      <c r="PKI8" s="36"/>
      <c r="PKJ8" s="36"/>
      <c r="PKK8" s="36"/>
      <c r="PKL8" s="36"/>
      <c r="PKM8" s="36"/>
      <c r="PKN8" s="36"/>
      <c r="PKO8" s="36"/>
      <c r="PKP8" s="36"/>
      <c r="PKQ8" s="36"/>
      <c r="PKR8" s="36"/>
      <c r="PKS8" s="36"/>
      <c r="PKT8" s="36"/>
      <c r="PKU8" s="36"/>
      <c r="PKV8" s="36"/>
      <c r="PKW8" s="36"/>
      <c r="PKX8" s="36"/>
      <c r="PKY8" s="36"/>
      <c r="PKZ8" s="36"/>
      <c r="PLA8" s="36"/>
      <c r="PLB8" s="36"/>
      <c r="PLC8" s="36"/>
      <c r="PLD8" s="36"/>
      <c r="PLE8" s="36"/>
      <c r="PLF8" s="36"/>
      <c r="PLG8" s="36"/>
      <c r="PLH8" s="36"/>
      <c r="PLI8" s="36"/>
      <c r="PLJ8" s="36"/>
      <c r="PLK8" s="36"/>
      <c r="PLL8" s="36"/>
      <c r="PLM8" s="36"/>
      <c r="PLN8" s="36"/>
      <c r="PLO8" s="36"/>
      <c r="PLP8" s="36"/>
      <c r="PLQ8" s="36"/>
      <c r="PLR8" s="36"/>
      <c r="PLS8" s="36"/>
      <c r="PLT8" s="36"/>
      <c r="PLU8" s="36"/>
      <c r="PLV8" s="36"/>
      <c r="PLW8" s="36"/>
      <c r="PLX8" s="36"/>
      <c r="PLY8" s="36"/>
      <c r="PLZ8" s="36"/>
      <c r="PMA8" s="36"/>
      <c r="PMB8" s="36"/>
      <c r="PMC8" s="36"/>
      <c r="PMD8" s="36"/>
      <c r="PME8" s="36"/>
      <c r="PMF8" s="36"/>
      <c r="PMG8" s="36"/>
      <c r="PMH8" s="36"/>
      <c r="PMI8" s="36"/>
      <c r="PMJ8" s="36"/>
      <c r="PMK8" s="36"/>
      <c r="PML8" s="36"/>
      <c r="PMM8" s="36"/>
      <c r="PMN8" s="36"/>
      <c r="PMO8" s="36"/>
      <c r="PMP8" s="36"/>
      <c r="PMQ8" s="36"/>
      <c r="PMR8" s="36"/>
      <c r="PMS8" s="36"/>
      <c r="PMT8" s="36"/>
      <c r="PMU8" s="36"/>
      <c r="PMV8" s="36"/>
      <c r="PMW8" s="36"/>
      <c r="PMX8" s="36"/>
      <c r="PMY8" s="36"/>
      <c r="PMZ8" s="36"/>
      <c r="PNA8" s="36"/>
      <c r="PNB8" s="36"/>
      <c r="PNC8" s="36"/>
      <c r="PND8" s="36"/>
      <c r="PNE8" s="36"/>
      <c r="PNF8" s="36"/>
      <c r="PNG8" s="36"/>
      <c r="PNH8" s="36"/>
      <c r="PNI8" s="36"/>
      <c r="PNJ8" s="36"/>
      <c r="PNK8" s="36"/>
      <c r="PNL8" s="36"/>
      <c r="PNM8" s="36"/>
      <c r="PNN8" s="36"/>
      <c r="PNO8" s="36"/>
      <c r="PNP8" s="36"/>
      <c r="PNQ8" s="36"/>
      <c r="PNR8" s="36"/>
      <c r="PNS8" s="36"/>
      <c r="PNT8" s="36"/>
      <c r="PNU8" s="36"/>
      <c r="PNV8" s="36"/>
      <c r="PNW8" s="36"/>
      <c r="PNX8" s="36"/>
      <c r="PNY8" s="36"/>
      <c r="PNZ8" s="36"/>
      <c r="POA8" s="36"/>
      <c r="POB8" s="36"/>
      <c r="POC8" s="36"/>
      <c r="POD8" s="36"/>
      <c r="POE8" s="36"/>
      <c r="POF8" s="36"/>
      <c r="POG8" s="36"/>
      <c r="POH8" s="36"/>
      <c r="POI8" s="36"/>
      <c r="POJ8" s="36"/>
      <c r="POK8" s="36"/>
      <c r="POL8" s="36"/>
      <c r="POM8" s="36"/>
      <c r="PON8" s="36"/>
      <c r="POO8" s="36"/>
      <c r="POP8" s="36"/>
      <c r="POQ8" s="36"/>
      <c r="POR8" s="36"/>
      <c r="POS8" s="36"/>
      <c r="POT8" s="36"/>
      <c r="POU8" s="36"/>
      <c r="POV8" s="36"/>
      <c r="POW8" s="36"/>
      <c r="POX8" s="36"/>
      <c r="POY8" s="36"/>
      <c r="POZ8" s="36"/>
      <c r="PPA8" s="36"/>
      <c r="PPB8" s="36"/>
      <c r="PPC8" s="36"/>
      <c r="PPD8" s="36"/>
      <c r="PPE8" s="36"/>
      <c r="PPF8" s="36"/>
      <c r="PPG8" s="36"/>
      <c r="PPH8" s="36"/>
      <c r="PPI8" s="36"/>
      <c r="PPJ8" s="36"/>
      <c r="PPK8" s="36"/>
      <c r="PPL8" s="36"/>
      <c r="PPM8" s="36"/>
      <c r="PPN8" s="36"/>
      <c r="PPO8" s="36"/>
      <c r="PPP8" s="36"/>
      <c r="PPQ8" s="36"/>
      <c r="PPR8" s="36"/>
      <c r="PPS8" s="36"/>
      <c r="PPT8" s="36"/>
      <c r="PPU8" s="36"/>
      <c r="PPV8" s="36"/>
      <c r="PPW8" s="36"/>
      <c r="PPX8" s="36"/>
      <c r="PPY8" s="36"/>
      <c r="PPZ8" s="36"/>
      <c r="PQA8" s="36"/>
      <c r="PQB8" s="36"/>
      <c r="PQC8" s="36"/>
      <c r="PQD8" s="36"/>
      <c r="PQE8" s="36"/>
      <c r="PQF8" s="36"/>
      <c r="PQG8" s="36"/>
      <c r="PQH8" s="36"/>
      <c r="PQI8" s="36"/>
      <c r="PQJ8" s="36"/>
      <c r="PQK8" s="36"/>
      <c r="PQL8" s="36"/>
      <c r="PQM8" s="36"/>
      <c r="PQN8" s="36"/>
      <c r="PQO8" s="36"/>
      <c r="PQP8" s="36"/>
      <c r="PQQ8" s="36"/>
      <c r="PQR8" s="36"/>
      <c r="PQS8" s="36"/>
      <c r="PQT8" s="36"/>
      <c r="PQU8" s="36"/>
      <c r="PQV8" s="36"/>
      <c r="PQW8" s="36"/>
      <c r="PQX8" s="36"/>
      <c r="PQY8" s="36"/>
      <c r="PQZ8" s="36"/>
      <c r="PRA8" s="36"/>
      <c r="PRB8" s="36"/>
      <c r="PRC8" s="36"/>
      <c r="PRD8" s="36"/>
      <c r="PRE8" s="36"/>
      <c r="PRF8" s="36"/>
      <c r="PRG8" s="36"/>
      <c r="PRH8" s="36"/>
      <c r="PRI8" s="36"/>
      <c r="PRJ8" s="36"/>
      <c r="PRK8" s="36"/>
      <c r="PRL8" s="36"/>
      <c r="PRM8" s="36"/>
      <c r="PRN8" s="36"/>
      <c r="PRO8" s="36"/>
      <c r="PRP8" s="36"/>
      <c r="PRQ8" s="36"/>
      <c r="PRR8" s="36"/>
      <c r="PRS8" s="36"/>
      <c r="PRT8" s="36"/>
      <c r="PRU8" s="36"/>
      <c r="PRV8" s="36"/>
      <c r="PRW8" s="36"/>
      <c r="PRX8" s="36"/>
      <c r="PRY8" s="36"/>
      <c r="PRZ8" s="36"/>
      <c r="PSA8" s="36"/>
      <c r="PSB8" s="36"/>
      <c r="PSC8" s="36"/>
      <c r="PSD8" s="36"/>
      <c r="PSE8" s="36"/>
      <c r="PSF8" s="36"/>
      <c r="PSG8" s="36"/>
      <c r="PSH8" s="36"/>
      <c r="PSI8" s="36"/>
      <c r="PSJ8" s="36"/>
      <c r="PSK8" s="36"/>
      <c r="PSL8" s="36"/>
      <c r="PSM8" s="36"/>
      <c r="PSN8" s="36"/>
      <c r="PSO8" s="36"/>
      <c r="PSP8" s="36"/>
      <c r="PSQ8" s="36"/>
      <c r="PSR8" s="36"/>
      <c r="PSS8" s="36"/>
      <c r="PST8" s="36"/>
      <c r="PSU8" s="36"/>
      <c r="PSV8" s="36"/>
      <c r="PSW8" s="36"/>
      <c r="PSX8" s="36"/>
      <c r="PSY8" s="36"/>
      <c r="PSZ8" s="36"/>
      <c r="PTA8" s="36"/>
      <c r="PTB8" s="36"/>
      <c r="PTC8" s="36"/>
      <c r="PTD8" s="36"/>
      <c r="PTE8" s="36"/>
      <c r="PTF8" s="36"/>
      <c r="PTG8" s="36"/>
      <c r="PTH8" s="36"/>
      <c r="PTI8" s="36"/>
      <c r="PTJ8" s="36"/>
      <c r="PTK8" s="36"/>
      <c r="PTL8" s="36"/>
      <c r="PTM8" s="36"/>
      <c r="PTN8" s="36"/>
      <c r="PTO8" s="36"/>
      <c r="PTP8" s="36"/>
      <c r="PTQ8" s="36"/>
      <c r="PTR8" s="36"/>
      <c r="PTS8" s="36"/>
      <c r="PTT8" s="36"/>
      <c r="PTU8" s="36"/>
      <c r="PTV8" s="36"/>
      <c r="PTW8" s="36"/>
      <c r="PTX8" s="36"/>
      <c r="PTY8" s="36"/>
      <c r="PTZ8" s="36"/>
      <c r="PUA8" s="36"/>
      <c r="PUB8" s="36"/>
      <c r="PUC8" s="36"/>
      <c r="PUD8" s="36"/>
      <c r="PUE8" s="36"/>
      <c r="PUF8" s="36"/>
      <c r="PUG8" s="36"/>
      <c r="PUH8" s="36"/>
      <c r="PUI8" s="36"/>
      <c r="PUJ8" s="36"/>
      <c r="PUK8" s="36"/>
      <c r="PUL8" s="36"/>
      <c r="PUM8" s="36"/>
      <c r="PUN8" s="36"/>
      <c r="PUO8" s="36"/>
      <c r="PUP8" s="36"/>
      <c r="PUQ8" s="36"/>
      <c r="PUR8" s="36"/>
      <c r="PUS8" s="36"/>
      <c r="PUT8" s="36"/>
      <c r="PUU8" s="36"/>
      <c r="PUV8" s="36"/>
      <c r="PUW8" s="36"/>
      <c r="PUX8" s="36"/>
      <c r="PUY8" s="36"/>
      <c r="PUZ8" s="36"/>
      <c r="PVA8" s="36"/>
      <c r="PVB8" s="36"/>
      <c r="PVC8" s="36"/>
      <c r="PVD8" s="36"/>
      <c r="PVE8" s="36"/>
      <c r="PVF8" s="36"/>
      <c r="PVG8" s="36"/>
      <c r="PVH8" s="36"/>
      <c r="PVI8" s="36"/>
      <c r="PVJ8" s="36"/>
      <c r="PVK8" s="36"/>
      <c r="PVL8" s="36"/>
      <c r="PVM8" s="36"/>
      <c r="PVN8" s="36"/>
      <c r="PVO8" s="36"/>
      <c r="PVP8" s="36"/>
      <c r="PVQ8" s="36"/>
      <c r="PVR8" s="36"/>
      <c r="PVS8" s="36"/>
      <c r="PVT8" s="36"/>
      <c r="PVU8" s="36"/>
      <c r="PVV8" s="36"/>
      <c r="PVW8" s="36"/>
      <c r="PVX8" s="36"/>
      <c r="PVY8" s="36"/>
      <c r="PVZ8" s="36"/>
      <c r="PWA8" s="36"/>
      <c r="PWB8" s="36"/>
      <c r="PWC8" s="36"/>
      <c r="PWD8" s="36"/>
      <c r="PWE8" s="36"/>
      <c r="PWF8" s="36"/>
      <c r="PWG8" s="36"/>
      <c r="PWH8" s="36"/>
      <c r="PWI8" s="36"/>
      <c r="PWJ8" s="36"/>
      <c r="PWK8" s="36"/>
      <c r="PWL8" s="36"/>
      <c r="PWM8" s="36"/>
      <c r="PWN8" s="36"/>
      <c r="PWO8" s="36"/>
      <c r="PWP8" s="36"/>
      <c r="PWQ8" s="36"/>
      <c r="PWR8" s="36"/>
      <c r="PWS8" s="36"/>
      <c r="PWT8" s="36"/>
      <c r="PWU8" s="36"/>
      <c r="PWV8" s="36"/>
      <c r="PWW8" s="36"/>
      <c r="PWX8" s="36"/>
      <c r="PWY8" s="36"/>
      <c r="PWZ8" s="36"/>
      <c r="PXA8" s="36"/>
      <c r="PXB8" s="36"/>
      <c r="PXC8" s="36"/>
      <c r="PXD8" s="36"/>
      <c r="PXE8" s="36"/>
      <c r="PXF8" s="36"/>
      <c r="PXG8" s="36"/>
      <c r="PXH8" s="36"/>
      <c r="PXI8" s="36"/>
      <c r="PXJ8" s="36"/>
      <c r="PXK8" s="36"/>
      <c r="PXL8" s="36"/>
      <c r="PXM8" s="36"/>
      <c r="PXN8" s="36"/>
      <c r="PXO8" s="36"/>
      <c r="PXP8" s="36"/>
      <c r="PXQ8" s="36"/>
      <c r="PXR8" s="36"/>
      <c r="PXS8" s="36"/>
      <c r="PXT8" s="36"/>
      <c r="PXU8" s="36"/>
      <c r="PXV8" s="36"/>
      <c r="PXW8" s="36"/>
      <c r="PXX8" s="36"/>
      <c r="PXY8" s="36"/>
      <c r="PXZ8" s="36"/>
      <c r="PYA8" s="36"/>
      <c r="PYB8" s="36"/>
      <c r="PYC8" s="36"/>
      <c r="PYD8" s="36"/>
      <c r="PYE8" s="36"/>
      <c r="PYF8" s="36"/>
      <c r="PYG8" s="36"/>
      <c r="PYH8" s="36"/>
      <c r="PYI8" s="36"/>
      <c r="PYJ8" s="36"/>
      <c r="PYK8" s="36"/>
      <c r="PYL8" s="36"/>
      <c r="PYM8" s="36"/>
      <c r="PYN8" s="36"/>
      <c r="PYO8" s="36"/>
      <c r="PYP8" s="36"/>
      <c r="PYQ8" s="36"/>
      <c r="PYR8" s="36"/>
      <c r="PYS8" s="36"/>
      <c r="PYT8" s="36"/>
      <c r="PYU8" s="36"/>
      <c r="PYV8" s="36"/>
      <c r="PYW8" s="36"/>
      <c r="PYX8" s="36"/>
      <c r="PYY8" s="36"/>
      <c r="PYZ8" s="36"/>
      <c r="PZA8" s="36"/>
      <c r="PZB8" s="36"/>
      <c r="PZC8" s="36"/>
      <c r="PZD8" s="36"/>
      <c r="PZE8" s="36"/>
      <c r="PZF8" s="36"/>
      <c r="PZG8" s="36"/>
      <c r="PZH8" s="36"/>
      <c r="PZI8" s="36"/>
      <c r="PZJ8" s="36"/>
      <c r="PZK8" s="36"/>
      <c r="PZL8" s="36"/>
      <c r="PZM8" s="36"/>
      <c r="PZN8" s="36"/>
      <c r="PZO8" s="36"/>
      <c r="PZP8" s="36"/>
      <c r="PZQ8" s="36"/>
      <c r="PZR8" s="36"/>
      <c r="PZS8" s="36"/>
      <c r="PZT8" s="36"/>
      <c r="PZU8" s="36"/>
      <c r="PZV8" s="36"/>
      <c r="PZW8" s="36"/>
      <c r="PZX8" s="36"/>
      <c r="PZY8" s="36"/>
      <c r="PZZ8" s="36"/>
      <c r="QAA8" s="36"/>
      <c r="QAB8" s="36"/>
      <c r="QAC8" s="36"/>
      <c r="QAD8" s="36"/>
      <c r="QAE8" s="36"/>
      <c r="QAF8" s="36"/>
      <c r="QAG8" s="36"/>
      <c r="QAH8" s="36"/>
      <c r="QAI8" s="36"/>
      <c r="QAJ8" s="36"/>
      <c r="QAK8" s="36"/>
      <c r="QAL8" s="36"/>
      <c r="QAM8" s="36"/>
      <c r="QAN8" s="36"/>
      <c r="QAO8" s="36"/>
      <c r="QAP8" s="36"/>
      <c r="QAQ8" s="36"/>
      <c r="QAR8" s="36"/>
      <c r="QAS8" s="36"/>
      <c r="QAT8" s="36"/>
      <c r="QAU8" s="36"/>
      <c r="QAV8" s="36"/>
      <c r="QAW8" s="36"/>
      <c r="QAX8" s="36"/>
      <c r="QAY8" s="36"/>
      <c r="QAZ8" s="36"/>
      <c r="QBA8" s="36"/>
      <c r="QBB8" s="36"/>
      <c r="QBC8" s="36"/>
      <c r="QBD8" s="36"/>
      <c r="QBE8" s="36"/>
      <c r="QBF8" s="36"/>
      <c r="QBG8" s="36"/>
      <c r="QBH8" s="36"/>
      <c r="QBI8" s="36"/>
      <c r="QBJ8" s="36"/>
      <c r="QBK8" s="36"/>
      <c r="QBL8" s="36"/>
      <c r="QBM8" s="36"/>
      <c r="QBN8" s="36"/>
      <c r="QBO8" s="36"/>
      <c r="QBP8" s="36"/>
      <c r="QBQ8" s="36"/>
      <c r="QBR8" s="36"/>
      <c r="QBS8" s="36"/>
      <c r="QBT8" s="36"/>
      <c r="QBU8" s="36"/>
      <c r="QBV8" s="36"/>
      <c r="QBW8" s="36"/>
      <c r="QBX8" s="36"/>
      <c r="QBY8" s="36"/>
      <c r="QBZ8" s="36"/>
      <c r="QCA8" s="36"/>
      <c r="QCB8" s="36"/>
      <c r="QCC8" s="36"/>
      <c r="QCD8" s="36"/>
      <c r="QCE8" s="36"/>
      <c r="QCF8" s="36"/>
      <c r="QCG8" s="36"/>
      <c r="QCH8" s="36"/>
      <c r="QCI8" s="36"/>
      <c r="QCJ8" s="36"/>
      <c r="QCK8" s="36"/>
      <c r="QCL8" s="36"/>
      <c r="QCM8" s="36"/>
      <c r="QCN8" s="36"/>
      <c r="QCO8" s="36"/>
      <c r="QCP8" s="36"/>
      <c r="QCQ8" s="36"/>
      <c r="QCR8" s="36"/>
      <c r="QCS8" s="36"/>
      <c r="QCT8" s="36"/>
      <c r="QCU8" s="36"/>
      <c r="QCV8" s="36"/>
      <c r="QCW8" s="36"/>
      <c r="QCX8" s="36"/>
      <c r="QCY8" s="36"/>
      <c r="QCZ8" s="36"/>
      <c r="QDA8" s="36"/>
      <c r="QDB8" s="36"/>
      <c r="QDC8" s="36"/>
      <c r="QDD8" s="36"/>
      <c r="QDE8" s="36"/>
      <c r="QDF8" s="36"/>
      <c r="QDG8" s="36"/>
      <c r="QDH8" s="36"/>
      <c r="QDI8" s="36"/>
      <c r="QDJ8" s="36"/>
      <c r="QDK8" s="36"/>
      <c r="QDL8" s="36"/>
      <c r="QDM8" s="36"/>
      <c r="QDN8" s="36"/>
      <c r="QDO8" s="36"/>
      <c r="QDP8" s="36"/>
      <c r="QDQ8" s="36"/>
      <c r="QDR8" s="36"/>
      <c r="QDS8" s="36"/>
      <c r="QDT8" s="36"/>
      <c r="QDU8" s="36"/>
      <c r="QDV8" s="36"/>
      <c r="QDW8" s="36"/>
      <c r="QDX8" s="36"/>
      <c r="QDY8" s="36"/>
      <c r="QDZ8" s="36"/>
      <c r="QEA8" s="36"/>
      <c r="QEB8" s="36"/>
      <c r="QEC8" s="36"/>
      <c r="QED8" s="36"/>
      <c r="QEE8" s="36"/>
      <c r="QEF8" s="36"/>
      <c r="QEG8" s="36"/>
      <c r="QEH8" s="36"/>
      <c r="QEI8" s="36"/>
      <c r="QEJ8" s="36"/>
      <c r="QEK8" s="36"/>
      <c r="QEL8" s="36"/>
      <c r="QEM8" s="36"/>
      <c r="QEN8" s="36"/>
      <c r="QEO8" s="36"/>
      <c r="QEP8" s="36"/>
      <c r="QEQ8" s="36"/>
      <c r="QER8" s="36"/>
      <c r="QES8" s="36"/>
      <c r="QET8" s="36"/>
      <c r="QEU8" s="36"/>
      <c r="QEV8" s="36"/>
      <c r="QEW8" s="36"/>
      <c r="QEX8" s="36"/>
      <c r="QEY8" s="36"/>
      <c r="QEZ8" s="36"/>
      <c r="QFA8" s="36"/>
      <c r="QFB8" s="36"/>
      <c r="QFC8" s="36"/>
      <c r="QFD8" s="36"/>
      <c r="QFE8" s="36"/>
      <c r="QFF8" s="36"/>
      <c r="QFG8" s="36"/>
      <c r="QFH8" s="36"/>
      <c r="QFI8" s="36"/>
      <c r="QFJ8" s="36"/>
      <c r="QFK8" s="36"/>
      <c r="QFL8" s="36"/>
      <c r="QFM8" s="36"/>
      <c r="QFN8" s="36"/>
      <c r="QFO8" s="36"/>
      <c r="QFP8" s="36"/>
      <c r="QFQ8" s="36"/>
      <c r="QFR8" s="36"/>
      <c r="QFS8" s="36"/>
      <c r="QFT8" s="36"/>
      <c r="QFU8" s="36"/>
      <c r="QFV8" s="36"/>
      <c r="QFW8" s="36"/>
      <c r="QFX8" s="36"/>
      <c r="QFY8" s="36"/>
      <c r="QFZ8" s="36"/>
      <c r="QGA8" s="36"/>
      <c r="QGB8" s="36"/>
      <c r="QGC8" s="36"/>
      <c r="QGD8" s="36"/>
      <c r="QGE8" s="36"/>
      <c r="QGF8" s="36"/>
      <c r="QGG8" s="36"/>
      <c r="QGH8" s="36"/>
      <c r="QGI8" s="36"/>
      <c r="QGJ8" s="36"/>
      <c r="QGK8" s="36"/>
      <c r="QGL8" s="36"/>
      <c r="QGM8" s="36"/>
      <c r="QGN8" s="36"/>
      <c r="QGO8" s="36"/>
      <c r="QGP8" s="36"/>
      <c r="QGQ8" s="36"/>
      <c r="QGR8" s="36"/>
      <c r="QGS8" s="36"/>
      <c r="QGT8" s="36"/>
      <c r="QGU8" s="36"/>
      <c r="QGV8" s="36"/>
      <c r="QGW8" s="36"/>
      <c r="QGX8" s="36"/>
      <c r="QGY8" s="36"/>
      <c r="QGZ8" s="36"/>
      <c r="QHA8" s="36"/>
      <c r="QHB8" s="36"/>
      <c r="QHC8" s="36"/>
      <c r="QHD8" s="36"/>
      <c r="QHE8" s="36"/>
      <c r="QHF8" s="36"/>
      <c r="QHG8" s="36"/>
      <c r="QHH8" s="36"/>
      <c r="QHI8" s="36"/>
      <c r="QHJ8" s="36"/>
      <c r="QHK8" s="36"/>
      <c r="QHL8" s="36"/>
      <c r="QHM8" s="36"/>
      <c r="QHN8" s="36"/>
      <c r="QHO8" s="36"/>
      <c r="QHP8" s="36"/>
      <c r="QHQ8" s="36"/>
      <c r="QHR8" s="36"/>
      <c r="QHS8" s="36"/>
      <c r="QHT8" s="36"/>
      <c r="QHU8" s="36"/>
      <c r="QHV8" s="36"/>
      <c r="QHW8" s="36"/>
      <c r="QHX8" s="36"/>
      <c r="QHY8" s="36"/>
      <c r="QHZ8" s="36"/>
      <c r="QIA8" s="36"/>
      <c r="QIB8" s="36"/>
      <c r="QIC8" s="36"/>
      <c r="QID8" s="36"/>
      <c r="QIE8" s="36"/>
      <c r="QIF8" s="36"/>
      <c r="QIG8" s="36"/>
      <c r="QIH8" s="36"/>
      <c r="QII8" s="36"/>
      <c r="QIJ8" s="36"/>
      <c r="QIK8" s="36"/>
      <c r="QIL8" s="36"/>
      <c r="QIM8" s="36"/>
      <c r="QIN8" s="36"/>
      <c r="QIO8" s="36"/>
      <c r="QIP8" s="36"/>
      <c r="QIQ8" s="36"/>
      <c r="QIR8" s="36"/>
      <c r="QIS8" s="36"/>
      <c r="QIT8" s="36"/>
      <c r="QIU8" s="36"/>
      <c r="QIV8" s="36"/>
      <c r="QIW8" s="36"/>
      <c r="QIX8" s="36"/>
      <c r="QIY8" s="36"/>
      <c r="QIZ8" s="36"/>
      <c r="QJA8" s="36"/>
      <c r="QJB8" s="36"/>
      <c r="QJC8" s="36"/>
      <c r="QJD8" s="36"/>
      <c r="QJE8" s="36"/>
      <c r="QJF8" s="36"/>
      <c r="QJG8" s="36"/>
      <c r="QJH8" s="36"/>
      <c r="QJI8" s="36"/>
      <c r="QJJ8" s="36"/>
      <c r="QJK8" s="36"/>
      <c r="QJL8" s="36"/>
      <c r="QJM8" s="36"/>
      <c r="QJN8" s="36"/>
      <c r="QJO8" s="36"/>
      <c r="QJP8" s="36"/>
      <c r="QJQ8" s="36"/>
      <c r="QJR8" s="36"/>
      <c r="QJS8" s="36"/>
      <c r="QJT8" s="36"/>
      <c r="QJU8" s="36"/>
      <c r="QJV8" s="36"/>
      <c r="QJW8" s="36"/>
      <c r="QJX8" s="36"/>
      <c r="QJY8" s="36"/>
      <c r="QJZ8" s="36"/>
      <c r="QKA8" s="36"/>
      <c r="QKB8" s="36"/>
      <c r="QKC8" s="36"/>
      <c r="QKD8" s="36"/>
      <c r="QKE8" s="36"/>
      <c r="QKF8" s="36"/>
      <c r="QKG8" s="36"/>
      <c r="QKH8" s="36"/>
      <c r="QKI8" s="36"/>
      <c r="QKJ8" s="36"/>
      <c r="QKK8" s="36"/>
      <c r="QKL8" s="36"/>
      <c r="QKM8" s="36"/>
      <c r="QKN8" s="36"/>
      <c r="QKO8" s="36"/>
      <c r="QKP8" s="36"/>
      <c r="QKQ8" s="36"/>
      <c r="QKR8" s="36"/>
      <c r="QKS8" s="36"/>
      <c r="QKT8" s="36"/>
      <c r="QKU8" s="36"/>
      <c r="QKV8" s="36"/>
      <c r="QKW8" s="36"/>
      <c r="QKX8" s="36"/>
      <c r="QKY8" s="36"/>
      <c r="QKZ8" s="36"/>
      <c r="QLA8" s="36"/>
      <c r="QLB8" s="36"/>
      <c r="QLC8" s="36"/>
      <c r="QLD8" s="36"/>
      <c r="QLE8" s="36"/>
      <c r="QLF8" s="36"/>
      <c r="QLG8" s="36"/>
      <c r="QLH8" s="36"/>
      <c r="QLI8" s="36"/>
      <c r="QLJ8" s="36"/>
      <c r="QLK8" s="36"/>
      <c r="QLL8" s="36"/>
      <c r="QLM8" s="36"/>
      <c r="QLN8" s="36"/>
      <c r="QLO8" s="36"/>
      <c r="QLP8" s="36"/>
      <c r="QLQ8" s="36"/>
      <c r="QLR8" s="36"/>
      <c r="QLS8" s="36"/>
      <c r="QLT8" s="36"/>
      <c r="QLU8" s="36"/>
      <c r="QLV8" s="36"/>
      <c r="QLW8" s="36"/>
      <c r="QLX8" s="36"/>
      <c r="QLY8" s="36"/>
      <c r="QLZ8" s="36"/>
      <c r="QMA8" s="36"/>
      <c r="QMB8" s="36"/>
      <c r="QMC8" s="36"/>
      <c r="QMD8" s="36"/>
      <c r="QME8" s="36"/>
      <c r="QMF8" s="36"/>
      <c r="QMG8" s="36"/>
      <c r="QMH8" s="36"/>
      <c r="QMI8" s="36"/>
      <c r="QMJ8" s="36"/>
      <c r="QMK8" s="36"/>
      <c r="QML8" s="36"/>
      <c r="QMM8" s="36"/>
      <c r="QMN8" s="36"/>
      <c r="QMO8" s="36"/>
      <c r="QMP8" s="36"/>
      <c r="QMQ8" s="36"/>
      <c r="QMR8" s="36"/>
      <c r="QMS8" s="36"/>
      <c r="QMT8" s="36"/>
      <c r="QMU8" s="36"/>
      <c r="QMV8" s="36"/>
      <c r="QMW8" s="36"/>
      <c r="QMX8" s="36"/>
      <c r="QMY8" s="36"/>
      <c r="QMZ8" s="36"/>
      <c r="QNA8" s="36"/>
      <c r="QNB8" s="36"/>
      <c r="QNC8" s="36"/>
      <c r="QND8" s="36"/>
      <c r="QNE8" s="36"/>
      <c r="QNF8" s="36"/>
      <c r="QNG8" s="36"/>
      <c r="QNH8" s="36"/>
      <c r="QNI8" s="36"/>
      <c r="QNJ8" s="36"/>
      <c r="QNK8" s="36"/>
      <c r="QNL8" s="36"/>
      <c r="QNM8" s="36"/>
      <c r="QNN8" s="36"/>
      <c r="QNO8" s="36"/>
      <c r="QNP8" s="36"/>
      <c r="QNQ8" s="36"/>
      <c r="QNR8" s="36"/>
      <c r="QNS8" s="36"/>
      <c r="QNT8" s="36"/>
      <c r="QNU8" s="36"/>
      <c r="QNV8" s="36"/>
      <c r="QNW8" s="36"/>
      <c r="QNX8" s="36"/>
      <c r="QNY8" s="36"/>
      <c r="QNZ8" s="36"/>
      <c r="QOA8" s="36"/>
      <c r="QOB8" s="36"/>
      <c r="QOC8" s="36"/>
      <c r="QOD8" s="36"/>
      <c r="QOE8" s="36"/>
      <c r="QOF8" s="36"/>
      <c r="QOG8" s="36"/>
      <c r="QOH8" s="36"/>
      <c r="QOI8" s="36"/>
      <c r="QOJ8" s="36"/>
      <c r="QOK8" s="36"/>
      <c r="QOL8" s="36"/>
      <c r="QOM8" s="36"/>
      <c r="QON8" s="36"/>
      <c r="QOO8" s="36"/>
      <c r="QOP8" s="36"/>
      <c r="QOQ8" s="36"/>
      <c r="QOR8" s="36"/>
      <c r="QOS8" s="36"/>
      <c r="QOT8" s="36"/>
      <c r="QOU8" s="36"/>
      <c r="QOV8" s="36"/>
      <c r="QOW8" s="36"/>
      <c r="QOX8" s="36"/>
      <c r="QOY8" s="36"/>
      <c r="QOZ8" s="36"/>
      <c r="QPA8" s="36"/>
      <c r="QPB8" s="36"/>
      <c r="QPC8" s="36"/>
      <c r="QPD8" s="36"/>
      <c r="QPE8" s="36"/>
      <c r="QPF8" s="36"/>
      <c r="QPG8" s="36"/>
      <c r="QPH8" s="36"/>
      <c r="QPI8" s="36"/>
      <c r="QPJ8" s="36"/>
      <c r="QPK8" s="36"/>
      <c r="QPL8" s="36"/>
      <c r="QPM8" s="36"/>
      <c r="QPN8" s="36"/>
      <c r="QPO8" s="36"/>
      <c r="QPP8" s="36"/>
      <c r="QPQ8" s="36"/>
      <c r="QPR8" s="36"/>
      <c r="QPS8" s="36"/>
      <c r="QPT8" s="36"/>
      <c r="QPU8" s="36"/>
      <c r="QPV8" s="36"/>
      <c r="QPW8" s="36"/>
      <c r="QPX8" s="36"/>
      <c r="QPY8" s="36"/>
      <c r="QPZ8" s="36"/>
      <c r="QQA8" s="36"/>
      <c r="QQB8" s="36"/>
      <c r="QQC8" s="36"/>
      <c r="QQD8" s="36"/>
      <c r="QQE8" s="36"/>
      <c r="QQF8" s="36"/>
      <c r="QQG8" s="36"/>
      <c r="QQH8" s="36"/>
      <c r="QQI8" s="36"/>
      <c r="QQJ8" s="36"/>
      <c r="QQK8" s="36"/>
      <c r="QQL8" s="36"/>
      <c r="QQM8" s="36"/>
      <c r="QQN8" s="36"/>
      <c r="QQO8" s="36"/>
      <c r="QQP8" s="36"/>
      <c r="QQQ8" s="36"/>
      <c r="QQR8" s="36"/>
      <c r="QQS8" s="36"/>
      <c r="QQT8" s="36"/>
      <c r="QQU8" s="36"/>
      <c r="QQV8" s="36"/>
      <c r="QQW8" s="36"/>
      <c r="QQX8" s="36"/>
      <c r="QQY8" s="36"/>
      <c r="QQZ8" s="36"/>
      <c r="QRA8" s="36"/>
      <c r="QRB8" s="36"/>
      <c r="QRC8" s="36"/>
      <c r="QRD8" s="36"/>
      <c r="QRE8" s="36"/>
      <c r="QRF8" s="36"/>
      <c r="QRG8" s="36"/>
      <c r="QRH8" s="36"/>
      <c r="QRI8" s="36"/>
      <c r="QRJ8" s="36"/>
      <c r="QRK8" s="36"/>
      <c r="QRL8" s="36"/>
      <c r="QRM8" s="36"/>
      <c r="QRN8" s="36"/>
      <c r="QRO8" s="36"/>
      <c r="QRP8" s="36"/>
      <c r="QRQ8" s="36"/>
      <c r="QRR8" s="36"/>
      <c r="QRS8" s="36"/>
      <c r="QRT8" s="36"/>
      <c r="QRU8" s="36"/>
      <c r="QRV8" s="36"/>
      <c r="QRW8" s="36"/>
      <c r="QRX8" s="36"/>
      <c r="QRY8" s="36"/>
      <c r="QRZ8" s="36"/>
      <c r="QSA8" s="36"/>
      <c r="QSB8" s="36"/>
      <c r="QSC8" s="36"/>
      <c r="QSD8" s="36"/>
      <c r="QSE8" s="36"/>
      <c r="QSF8" s="36"/>
      <c r="QSG8" s="36"/>
      <c r="QSH8" s="36"/>
      <c r="QSI8" s="36"/>
      <c r="QSJ8" s="36"/>
      <c r="QSK8" s="36"/>
      <c r="QSL8" s="36"/>
      <c r="QSM8" s="36"/>
      <c r="QSN8" s="36"/>
      <c r="QSO8" s="36"/>
      <c r="QSP8" s="36"/>
      <c r="QSQ8" s="36"/>
      <c r="QSR8" s="36"/>
      <c r="QSS8" s="36"/>
      <c r="QST8" s="36"/>
      <c r="QSU8" s="36"/>
      <c r="QSV8" s="36"/>
      <c r="QSW8" s="36"/>
      <c r="QSX8" s="36"/>
      <c r="QSY8" s="36"/>
      <c r="QSZ8" s="36"/>
      <c r="QTA8" s="36"/>
      <c r="QTB8" s="36"/>
      <c r="QTC8" s="36"/>
      <c r="QTD8" s="36"/>
      <c r="QTE8" s="36"/>
      <c r="QTF8" s="36"/>
      <c r="QTG8" s="36"/>
      <c r="QTH8" s="36"/>
      <c r="QTI8" s="36"/>
      <c r="QTJ8" s="36"/>
      <c r="QTK8" s="36"/>
      <c r="QTL8" s="36"/>
      <c r="QTM8" s="36"/>
      <c r="QTN8" s="36"/>
      <c r="QTO8" s="36"/>
      <c r="QTP8" s="36"/>
      <c r="QTQ8" s="36"/>
      <c r="QTR8" s="36"/>
      <c r="QTS8" s="36"/>
      <c r="QTT8" s="36"/>
      <c r="QTU8" s="36"/>
      <c r="QTV8" s="36"/>
      <c r="QTW8" s="36"/>
      <c r="QTX8" s="36"/>
      <c r="QTY8" s="36"/>
      <c r="QTZ8" s="36"/>
      <c r="QUA8" s="36"/>
      <c r="QUB8" s="36"/>
      <c r="QUC8" s="36"/>
      <c r="QUD8" s="36"/>
      <c r="QUE8" s="36"/>
      <c r="QUF8" s="36"/>
      <c r="QUG8" s="36"/>
      <c r="QUH8" s="36"/>
      <c r="QUI8" s="36"/>
      <c r="QUJ8" s="36"/>
      <c r="QUK8" s="36"/>
      <c r="QUL8" s="36"/>
      <c r="QUM8" s="36"/>
      <c r="QUN8" s="36"/>
      <c r="QUO8" s="36"/>
      <c r="QUP8" s="36"/>
      <c r="QUQ8" s="36"/>
      <c r="QUR8" s="36"/>
      <c r="QUS8" s="36"/>
      <c r="QUT8" s="36"/>
      <c r="QUU8" s="36"/>
      <c r="QUV8" s="36"/>
      <c r="QUW8" s="36"/>
      <c r="QUX8" s="36"/>
      <c r="QUY8" s="36"/>
      <c r="QUZ8" s="36"/>
      <c r="QVA8" s="36"/>
      <c r="QVB8" s="36"/>
      <c r="QVC8" s="36"/>
      <c r="QVD8" s="36"/>
      <c r="QVE8" s="36"/>
      <c r="QVF8" s="36"/>
      <c r="QVG8" s="36"/>
      <c r="QVH8" s="36"/>
      <c r="QVI8" s="36"/>
      <c r="QVJ8" s="36"/>
      <c r="QVK8" s="36"/>
      <c r="QVL8" s="36"/>
      <c r="QVM8" s="36"/>
      <c r="QVN8" s="36"/>
      <c r="QVO8" s="36"/>
      <c r="QVP8" s="36"/>
      <c r="QVQ8" s="36"/>
      <c r="QVR8" s="36"/>
      <c r="QVS8" s="36"/>
      <c r="QVT8" s="36"/>
      <c r="QVU8" s="36"/>
      <c r="QVV8" s="36"/>
      <c r="QVW8" s="36"/>
      <c r="QVX8" s="36"/>
      <c r="QVY8" s="36"/>
      <c r="QVZ8" s="36"/>
      <c r="QWA8" s="36"/>
      <c r="QWB8" s="36"/>
      <c r="QWC8" s="36"/>
      <c r="QWD8" s="36"/>
      <c r="QWE8" s="36"/>
      <c r="QWF8" s="36"/>
      <c r="QWG8" s="36"/>
      <c r="QWH8" s="36"/>
      <c r="QWI8" s="36"/>
      <c r="QWJ8" s="36"/>
      <c r="QWK8" s="36"/>
      <c r="QWL8" s="36"/>
      <c r="QWM8" s="36"/>
      <c r="QWN8" s="36"/>
      <c r="QWO8" s="36"/>
      <c r="QWP8" s="36"/>
      <c r="QWQ8" s="36"/>
      <c r="QWR8" s="36"/>
      <c r="QWS8" s="36"/>
      <c r="QWT8" s="36"/>
      <c r="QWU8" s="36"/>
      <c r="QWV8" s="36"/>
      <c r="QWW8" s="36"/>
      <c r="QWX8" s="36"/>
      <c r="QWY8" s="36"/>
      <c r="QWZ8" s="36"/>
      <c r="QXA8" s="36"/>
      <c r="QXB8" s="36"/>
      <c r="QXC8" s="36"/>
      <c r="QXD8" s="36"/>
      <c r="QXE8" s="36"/>
      <c r="QXF8" s="36"/>
      <c r="QXG8" s="36"/>
      <c r="QXH8" s="36"/>
      <c r="QXI8" s="36"/>
      <c r="QXJ8" s="36"/>
      <c r="QXK8" s="36"/>
      <c r="QXL8" s="36"/>
      <c r="QXM8" s="36"/>
      <c r="QXN8" s="36"/>
      <c r="QXO8" s="36"/>
      <c r="QXP8" s="36"/>
      <c r="QXQ8" s="36"/>
      <c r="QXR8" s="36"/>
      <c r="QXS8" s="36"/>
      <c r="QXT8" s="36"/>
      <c r="QXU8" s="36"/>
      <c r="QXV8" s="36"/>
      <c r="QXW8" s="36"/>
      <c r="QXX8" s="36"/>
      <c r="QXY8" s="36"/>
      <c r="QXZ8" s="36"/>
      <c r="QYA8" s="36"/>
      <c r="QYB8" s="36"/>
      <c r="QYC8" s="36"/>
      <c r="QYD8" s="36"/>
      <c r="QYE8" s="36"/>
      <c r="QYF8" s="36"/>
      <c r="QYG8" s="36"/>
      <c r="QYH8" s="36"/>
      <c r="QYI8" s="36"/>
      <c r="QYJ8" s="36"/>
      <c r="QYK8" s="36"/>
      <c r="QYL8" s="36"/>
      <c r="QYM8" s="36"/>
      <c r="QYN8" s="36"/>
      <c r="QYO8" s="36"/>
      <c r="QYP8" s="36"/>
      <c r="QYQ8" s="36"/>
      <c r="QYR8" s="36"/>
      <c r="QYS8" s="36"/>
      <c r="QYT8" s="36"/>
      <c r="QYU8" s="36"/>
      <c r="QYV8" s="36"/>
      <c r="QYW8" s="36"/>
      <c r="QYX8" s="36"/>
      <c r="QYY8" s="36"/>
      <c r="QYZ8" s="36"/>
      <c r="QZA8" s="36"/>
      <c r="QZB8" s="36"/>
      <c r="QZC8" s="36"/>
      <c r="QZD8" s="36"/>
      <c r="QZE8" s="36"/>
      <c r="QZF8" s="36"/>
      <c r="QZG8" s="36"/>
      <c r="QZH8" s="36"/>
      <c r="QZI8" s="36"/>
      <c r="QZJ8" s="36"/>
      <c r="QZK8" s="36"/>
      <c r="QZL8" s="36"/>
      <c r="QZM8" s="36"/>
      <c r="QZN8" s="36"/>
      <c r="QZO8" s="36"/>
      <c r="QZP8" s="36"/>
      <c r="QZQ8" s="36"/>
      <c r="QZR8" s="36"/>
      <c r="QZS8" s="36"/>
      <c r="QZT8" s="36"/>
      <c r="QZU8" s="36"/>
      <c r="QZV8" s="36"/>
      <c r="QZW8" s="36"/>
      <c r="QZX8" s="36"/>
      <c r="QZY8" s="36"/>
      <c r="QZZ8" s="36"/>
      <c r="RAA8" s="36"/>
      <c r="RAB8" s="36"/>
      <c r="RAC8" s="36"/>
      <c r="RAD8" s="36"/>
      <c r="RAE8" s="36"/>
      <c r="RAF8" s="36"/>
      <c r="RAG8" s="36"/>
      <c r="RAH8" s="36"/>
      <c r="RAI8" s="36"/>
      <c r="RAJ8" s="36"/>
      <c r="RAK8" s="36"/>
      <c r="RAL8" s="36"/>
      <c r="RAM8" s="36"/>
      <c r="RAN8" s="36"/>
      <c r="RAO8" s="36"/>
      <c r="RAP8" s="36"/>
      <c r="RAQ8" s="36"/>
      <c r="RAR8" s="36"/>
      <c r="RAS8" s="36"/>
      <c r="RAT8" s="36"/>
      <c r="RAU8" s="36"/>
      <c r="RAV8" s="36"/>
      <c r="RAW8" s="36"/>
      <c r="RAX8" s="36"/>
      <c r="RAY8" s="36"/>
      <c r="RAZ8" s="36"/>
      <c r="RBA8" s="36"/>
      <c r="RBB8" s="36"/>
      <c r="RBC8" s="36"/>
      <c r="RBD8" s="36"/>
      <c r="RBE8" s="36"/>
      <c r="RBF8" s="36"/>
      <c r="RBG8" s="36"/>
      <c r="RBH8" s="36"/>
      <c r="RBI8" s="36"/>
      <c r="RBJ8" s="36"/>
      <c r="RBK8" s="36"/>
      <c r="RBL8" s="36"/>
      <c r="RBM8" s="36"/>
      <c r="RBN8" s="36"/>
      <c r="RBO8" s="36"/>
      <c r="RBP8" s="36"/>
      <c r="RBQ8" s="36"/>
      <c r="RBR8" s="36"/>
      <c r="RBS8" s="36"/>
      <c r="RBT8" s="36"/>
      <c r="RBU8" s="36"/>
      <c r="RBV8" s="36"/>
      <c r="RBW8" s="36"/>
      <c r="RBX8" s="36"/>
      <c r="RBY8" s="36"/>
      <c r="RBZ8" s="36"/>
      <c r="RCA8" s="36"/>
      <c r="RCB8" s="36"/>
      <c r="RCC8" s="36"/>
      <c r="RCD8" s="36"/>
      <c r="RCE8" s="36"/>
      <c r="RCF8" s="36"/>
      <c r="RCG8" s="36"/>
      <c r="RCH8" s="36"/>
      <c r="RCI8" s="36"/>
      <c r="RCJ8" s="36"/>
      <c r="RCK8" s="36"/>
      <c r="RCL8" s="36"/>
      <c r="RCM8" s="36"/>
      <c r="RCN8" s="36"/>
      <c r="RCO8" s="36"/>
      <c r="RCP8" s="36"/>
      <c r="RCQ8" s="36"/>
      <c r="RCR8" s="36"/>
      <c r="RCS8" s="36"/>
      <c r="RCT8" s="36"/>
      <c r="RCU8" s="36"/>
      <c r="RCV8" s="36"/>
      <c r="RCW8" s="36"/>
      <c r="RCX8" s="36"/>
      <c r="RCY8" s="36"/>
      <c r="RCZ8" s="36"/>
      <c r="RDA8" s="36"/>
      <c r="RDB8" s="36"/>
      <c r="RDC8" s="36"/>
      <c r="RDD8" s="36"/>
      <c r="RDE8" s="36"/>
      <c r="RDF8" s="36"/>
      <c r="RDG8" s="36"/>
      <c r="RDH8" s="36"/>
      <c r="RDI8" s="36"/>
      <c r="RDJ8" s="36"/>
      <c r="RDK8" s="36"/>
      <c r="RDL8" s="36"/>
      <c r="RDM8" s="36"/>
      <c r="RDN8" s="36"/>
      <c r="RDO8" s="36"/>
      <c r="RDP8" s="36"/>
      <c r="RDQ8" s="36"/>
      <c r="RDR8" s="36"/>
      <c r="RDS8" s="36"/>
      <c r="RDT8" s="36"/>
      <c r="RDU8" s="36"/>
      <c r="RDV8" s="36"/>
      <c r="RDW8" s="36"/>
      <c r="RDX8" s="36"/>
      <c r="RDY8" s="36"/>
      <c r="RDZ8" s="36"/>
      <c r="REA8" s="36"/>
      <c r="REB8" s="36"/>
      <c r="REC8" s="36"/>
      <c r="RED8" s="36"/>
      <c r="REE8" s="36"/>
      <c r="REF8" s="36"/>
      <c r="REG8" s="36"/>
      <c r="REH8" s="36"/>
      <c r="REI8" s="36"/>
      <c r="REJ8" s="36"/>
      <c r="REK8" s="36"/>
      <c r="REL8" s="36"/>
      <c r="REM8" s="36"/>
      <c r="REN8" s="36"/>
      <c r="REO8" s="36"/>
      <c r="REP8" s="36"/>
      <c r="REQ8" s="36"/>
      <c r="RER8" s="36"/>
      <c r="RES8" s="36"/>
      <c r="RET8" s="36"/>
      <c r="REU8" s="36"/>
      <c r="REV8" s="36"/>
      <c r="REW8" s="36"/>
      <c r="REX8" s="36"/>
      <c r="REY8" s="36"/>
      <c r="REZ8" s="36"/>
      <c r="RFA8" s="36"/>
      <c r="RFB8" s="36"/>
      <c r="RFC8" s="36"/>
      <c r="RFD8" s="36"/>
      <c r="RFE8" s="36"/>
      <c r="RFF8" s="36"/>
      <c r="RFG8" s="36"/>
      <c r="RFH8" s="36"/>
      <c r="RFI8" s="36"/>
      <c r="RFJ8" s="36"/>
      <c r="RFK8" s="36"/>
      <c r="RFL8" s="36"/>
      <c r="RFM8" s="36"/>
      <c r="RFN8" s="36"/>
      <c r="RFO8" s="36"/>
      <c r="RFP8" s="36"/>
      <c r="RFQ8" s="36"/>
      <c r="RFR8" s="36"/>
      <c r="RFS8" s="36"/>
      <c r="RFT8" s="36"/>
      <c r="RFU8" s="36"/>
      <c r="RFV8" s="36"/>
      <c r="RFW8" s="36"/>
      <c r="RFX8" s="36"/>
      <c r="RFY8" s="36"/>
      <c r="RFZ8" s="36"/>
      <c r="RGA8" s="36"/>
      <c r="RGB8" s="36"/>
      <c r="RGC8" s="36"/>
      <c r="RGD8" s="36"/>
      <c r="RGE8" s="36"/>
      <c r="RGF8" s="36"/>
      <c r="RGG8" s="36"/>
      <c r="RGH8" s="36"/>
      <c r="RGI8" s="36"/>
      <c r="RGJ8" s="36"/>
      <c r="RGK8" s="36"/>
      <c r="RGL8" s="36"/>
      <c r="RGM8" s="36"/>
      <c r="RGN8" s="36"/>
      <c r="RGO8" s="36"/>
      <c r="RGP8" s="36"/>
      <c r="RGQ8" s="36"/>
      <c r="RGR8" s="36"/>
      <c r="RGS8" s="36"/>
      <c r="RGT8" s="36"/>
      <c r="RGU8" s="36"/>
      <c r="RGV8" s="36"/>
      <c r="RGW8" s="36"/>
      <c r="RGX8" s="36"/>
      <c r="RGY8" s="36"/>
      <c r="RGZ8" s="36"/>
      <c r="RHA8" s="36"/>
      <c r="RHB8" s="36"/>
      <c r="RHC8" s="36"/>
      <c r="RHD8" s="36"/>
      <c r="RHE8" s="36"/>
      <c r="RHF8" s="36"/>
      <c r="RHG8" s="36"/>
      <c r="RHH8" s="36"/>
      <c r="RHI8" s="36"/>
      <c r="RHJ8" s="36"/>
      <c r="RHK8" s="36"/>
      <c r="RHL8" s="36"/>
      <c r="RHM8" s="36"/>
      <c r="RHN8" s="36"/>
      <c r="RHO8" s="36"/>
      <c r="RHP8" s="36"/>
      <c r="RHQ8" s="36"/>
      <c r="RHR8" s="36"/>
      <c r="RHS8" s="36"/>
      <c r="RHT8" s="36"/>
      <c r="RHU8" s="36"/>
      <c r="RHV8" s="36"/>
      <c r="RHW8" s="36"/>
      <c r="RHX8" s="36"/>
      <c r="RHY8" s="36"/>
      <c r="RHZ8" s="36"/>
      <c r="RIA8" s="36"/>
      <c r="RIB8" s="36"/>
      <c r="RIC8" s="36"/>
      <c r="RID8" s="36"/>
      <c r="RIE8" s="36"/>
      <c r="RIF8" s="36"/>
      <c r="RIG8" s="36"/>
      <c r="RIH8" s="36"/>
      <c r="RII8" s="36"/>
      <c r="RIJ8" s="36"/>
      <c r="RIK8" s="36"/>
      <c r="RIL8" s="36"/>
      <c r="RIM8" s="36"/>
      <c r="RIN8" s="36"/>
      <c r="RIO8" s="36"/>
      <c r="RIP8" s="36"/>
      <c r="RIQ8" s="36"/>
      <c r="RIR8" s="36"/>
      <c r="RIS8" s="36"/>
      <c r="RIT8" s="36"/>
      <c r="RIU8" s="36"/>
      <c r="RIV8" s="36"/>
      <c r="RIW8" s="36"/>
      <c r="RIX8" s="36"/>
      <c r="RIY8" s="36"/>
      <c r="RIZ8" s="36"/>
      <c r="RJA8" s="36"/>
      <c r="RJB8" s="36"/>
      <c r="RJC8" s="36"/>
      <c r="RJD8" s="36"/>
      <c r="RJE8" s="36"/>
      <c r="RJF8" s="36"/>
      <c r="RJG8" s="36"/>
      <c r="RJH8" s="36"/>
      <c r="RJI8" s="36"/>
      <c r="RJJ8" s="36"/>
      <c r="RJK8" s="36"/>
      <c r="RJL8" s="36"/>
      <c r="RJM8" s="36"/>
      <c r="RJN8" s="36"/>
      <c r="RJO8" s="36"/>
      <c r="RJP8" s="36"/>
      <c r="RJQ8" s="36"/>
      <c r="RJR8" s="36"/>
      <c r="RJS8" s="36"/>
      <c r="RJT8" s="36"/>
      <c r="RJU8" s="36"/>
      <c r="RJV8" s="36"/>
      <c r="RJW8" s="36"/>
      <c r="RJX8" s="36"/>
      <c r="RJY8" s="36"/>
      <c r="RJZ8" s="36"/>
      <c r="RKA8" s="36"/>
      <c r="RKB8" s="36"/>
      <c r="RKC8" s="36"/>
      <c r="RKD8" s="36"/>
      <c r="RKE8" s="36"/>
      <c r="RKF8" s="36"/>
      <c r="RKG8" s="36"/>
      <c r="RKH8" s="36"/>
      <c r="RKI8" s="36"/>
      <c r="RKJ8" s="36"/>
      <c r="RKK8" s="36"/>
      <c r="RKL8" s="36"/>
      <c r="RKM8" s="36"/>
      <c r="RKN8" s="36"/>
      <c r="RKO8" s="36"/>
      <c r="RKP8" s="36"/>
      <c r="RKQ8" s="36"/>
      <c r="RKR8" s="36"/>
      <c r="RKS8" s="36"/>
      <c r="RKT8" s="36"/>
      <c r="RKU8" s="36"/>
      <c r="RKV8" s="36"/>
      <c r="RKW8" s="36"/>
      <c r="RKX8" s="36"/>
      <c r="RKY8" s="36"/>
      <c r="RKZ8" s="36"/>
      <c r="RLA8" s="36"/>
      <c r="RLB8" s="36"/>
      <c r="RLC8" s="36"/>
      <c r="RLD8" s="36"/>
      <c r="RLE8" s="36"/>
      <c r="RLF8" s="36"/>
      <c r="RLG8" s="36"/>
      <c r="RLH8" s="36"/>
      <c r="RLI8" s="36"/>
      <c r="RLJ8" s="36"/>
      <c r="RLK8" s="36"/>
      <c r="RLL8" s="36"/>
      <c r="RLM8" s="36"/>
      <c r="RLN8" s="36"/>
      <c r="RLO8" s="36"/>
      <c r="RLP8" s="36"/>
      <c r="RLQ8" s="36"/>
      <c r="RLR8" s="36"/>
      <c r="RLS8" s="36"/>
      <c r="RLT8" s="36"/>
      <c r="RLU8" s="36"/>
      <c r="RLV8" s="36"/>
      <c r="RLW8" s="36"/>
      <c r="RLX8" s="36"/>
      <c r="RLY8" s="36"/>
      <c r="RLZ8" s="36"/>
      <c r="RMA8" s="36"/>
      <c r="RMB8" s="36"/>
      <c r="RMC8" s="36"/>
      <c r="RMD8" s="36"/>
      <c r="RME8" s="36"/>
      <c r="RMF8" s="36"/>
      <c r="RMG8" s="36"/>
      <c r="RMH8" s="36"/>
      <c r="RMI8" s="36"/>
      <c r="RMJ8" s="36"/>
      <c r="RMK8" s="36"/>
      <c r="RML8" s="36"/>
      <c r="RMM8" s="36"/>
      <c r="RMN8" s="36"/>
      <c r="RMO8" s="36"/>
      <c r="RMP8" s="36"/>
      <c r="RMQ8" s="36"/>
      <c r="RMR8" s="36"/>
      <c r="RMS8" s="36"/>
      <c r="RMT8" s="36"/>
      <c r="RMU8" s="36"/>
      <c r="RMV8" s="36"/>
      <c r="RMW8" s="36"/>
      <c r="RMX8" s="36"/>
      <c r="RMY8" s="36"/>
      <c r="RMZ8" s="36"/>
      <c r="RNA8" s="36"/>
      <c r="RNB8" s="36"/>
      <c r="RNC8" s="36"/>
      <c r="RND8" s="36"/>
      <c r="RNE8" s="36"/>
      <c r="RNF8" s="36"/>
      <c r="RNG8" s="36"/>
      <c r="RNH8" s="36"/>
      <c r="RNI8" s="36"/>
      <c r="RNJ8" s="36"/>
      <c r="RNK8" s="36"/>
      <c r="RNL8" s="36"/>
      <c r="RNM8" s="36"/>
      <c r="RNN8" s="36"/>
      <c r="RNO8" s="36"/>
      <c r="RNP8" s="36"/>
      <c r="RNQ8" s="36"/>
      <c r="RNR8" s="36"/>
      <c r="RNS8" s="36"/>
      <c r="RNT8" s="36"/>
      <c r="RNU8" s="36"/>
      <c r="RNV8" s="36"/>
      <c r="RNW8" s="36"/>
      <c r="RNX8" s="36"/>
      <c r="RNY8" s="36"/>
      <c r="RNZ8" s="36"/>
      <c r="ROA8" s="36"/>
      <c r="ROB8" s="36"/>
      <c r="ROC8" s="36"/>
      <c r="ROD8" s="36"/>
      <c r="ROE8" s="36"/>
      <c r="ROF8" s="36"/>
      <c r="ROG8" s="36"/>
      <c r="ROH8" s="36"/>
      <c r="ROI8" s="36"/>
      <c r="ROJ8" s="36"/>
      <c r="ROK8" s="36"/>
      <c r="ROL8" s="36"/>
      <c r="ROM8" s="36"/>
      <c r="RON8" s="36"/>
      <c r="ROO8" s="36"/>
      <c r="ROP8" s="36"/>
      <c r="ROQ8" s="36"/>
      <c r="ROR8" s="36"/>
      <c r="ROS8" s="36"/>
      <c r="ROT8" s="36"/>
      <c r="ROU8" s="36"/>
      <c r="ROV8" s="36"/>
      <c r="ROW8" s="36"/>
      <c r="ROX8" s="36"/>
      <c r="ROY8" s="36"/>
      <c r="ROZ8" s="36"/>
      <c r="RPA8" s="36"/>
      <c r="RPB8" s="36"/>
      <c r="RPC8" s="36"/>
      <c r="RPD8" s="36"/>
      <c r="RPE8" s="36"/>
      <c r="RPF8" s="36"/>
      <c r="RPG8" s="36"/>
      <c r="RPH8" s="36"/>
      <c r="RPI8" s="36"/>
      <c r="RPJ8" s="36"/>
      <c r="RPK8" s="36"/>
      <c r="RPL8" s="36"/>
      <c r="RPM8" s="36"/>
      <c r="RPN8" s="36"/>
      <c r="RPO8" s="36"/>
      <c r="RPP8" s="36"/>
      <c r="RPQ8" s="36"/>
      <c r="RPR8" s="36"/>
      <c r="RPS8" s="36"/>
      <c r="RPT8" s="36"/>
      <c r="RPU8" s="36"/>
      <c r="RPV8" s="36"/>
      <c r="RPW8" s="36"/>
      <c r="RPX8" s="36"/>
      <c r="RPY8" s="36"/>
      <c r="RPZ8" s="36"/>
      <c r="RQA8" s="36"/>
      <c r="RQB8" s="36"/>
      <c r="RQC8" s="36"/>
      <c r="RQD8" s="36"/>
      <c r="RQE8" s="36"/>
      <c r="RQF8" s="36"/>
      <c r="RQG8" s="36"/>
      <c r="RQH8" s="36"/>
      <c r="RQI8" s="36"/>
      <c r="RQJ8" s="36"/>
      <c r="RQK8" s="36"/>
      <c r="RQL8" s="36"/>
      <c r="RQM8" s="36"/>
      <c r="RQN8" s="36"/>
      <c r="RQO8" s="36"/>
      <c r="RQP8" s="36"/>
      <c r="RQQ8" s="36"/>
      <c r="RQR8" s="36"/>
      <c r="RQS8" s="36"/>
      <c r="RQT8" s="36"/>
      <c r="RQU8" s="36"/>
      <c r="RQV8" s="36"/>
      <c r="RQW8" s="36"/>
      <c r="RQX8" s="36"/>
      <c r="RQY8" s="36"/>
      <c r="RQZ8" s="36"/>
      <c r="RRA8" s="36"/>
      <c r="RRB8" s="36"/>
      <c r="RRC8" s="36"/>
      <c r="RRD8" s="36"/>
      <c r="RRE8" s="36"/>
      <c r="RRF8" s="36"/>
      <c r="RRG8" s="36"/>
      <c r="RRH8" s="36"/>
      <c r="RRI8" s="36"/>
      <c r="RRJ8" s="36"/>
      <c r="RRK8" s="36"/>
      <c r="RRL8" s="36"/>
      <c r="RRM8" s="36"/>
      <c r="RRN8" s="36"/>
      <c r="RRO8" s="36"/>
      <c r="RRP8" s="36"/>
      <c r="RRQ8" s="36"/>
      <c r="RRR8" s="36"/>
      <c r="RRS8" s="36"/>
      <c r="RRT8" s="36"/>
      <c r="RRU8" s="36"/>
      <c r="RRV8" s="36"/>
      <c r="RRW8" s="36"/>
      <c r="RRX8" s="36"/>
      <c r="RRY8" s="36"/>
      <c r="RRZ8" s="36"/>
      <c r="RSA8" s="36"/>
      <c r="RSB8" s="36"/>
      <c r="RSC8" s="36"/>
      <c r="RSD8" s="36"/>
      <c r="RSE8" s="36"/>
      <c r="RSF8" s="36"/>
      <c r="RSG8" s="36"/>
      <c r="RSH8" s="36"/>
      <c r="RSI8" s="36"/>
      <c r="RSJ8" s="36"/>
      <c r="RSK8" s="36"/>
      <c r="RSL8" s="36"/>
      <c r="RSM8" s="36"/>
      <c r="RSN8" s="36"/>
      <c r="RSO8" s="36"/>
      <c r="RSP8" s="36"/>
      <c r="RSQ8" s="36"/>
      <c r="RSR8" s="36"/>
      <c r="RSS8" s="36"/>
      <c r="RST8" s="36"/>
      <c r="RSU8" s="36"/>
      <c r="RSV8" s="36"/>
      <c r="RSW8" s="36"/>
      <c r="RSX8" s="36"/>
      <c r="RSY8" s="36"/>
      <c r="RSZ8" s="36"/>
      <c r="RTA8" s="36"/>
      <c r="RTB8" s="36"/>
      <c r="RTC8" s="36"/>
      <c r="RTD8" s="36"/>
      <c r="RTE8" s="36"/>
      <c r="RTF8" s="36"/>
      <c r="RTG8" s="36"/>
      <c r="RTH8" s="36"/>
      <c r="RTI8" s="36"/>
      <c r="RTJ8" s="36"/>
      <c r="RTK8" s="36"/>
      <c r="RTL8" s="36"/>
      <c r="RTM8" s="36"/>
      <c r="RTN8" s="36"/>
      <c r="RTO8" s="36"/>
      <c r="RTP8" s="36"/>
      <c r="RTQ8" s="36"/>
      <c r="RTR8" s="36"/>
      <c r="RTS8" s="36"/>
      <c r="RTT8" s="36"/>
      <c r="RTU8" s="36"/>
      <c r="RTV8" s="36"/>
      <c r="RTW8" s="36"/>
      <c r="RTX8" s="36"/>
      <c r="RTY8" s="36"/>
      <c r="RTZ8" s="36"/>
      <c r="RUA8" s="36"/>
      <c r="RUB8" s="36"/>
      <c r="RUC8" s="36"/>
      <c r="RUD8" s="36"/>
      <c r="RUE8" s="36"/>
      <c r="RUF8" s="36"/>
      <c r="RUG8" s="36"/>
      <c r="RUH8" s="36"/>
      <c r="RUI8" s="36"/>
      <c r="RUJ8" s="36"/>
      <c r="RUK8" s="36"/>
      <c r="RUL8" s="36"/>
      <c r="RUM8" s="36"/>
      <c r="RUN8" s="36"/>
      <c r="RUO8" s="36"/>
      <c r="RUP8" s="36"/>
      <c r="RUQ8" s="36"/>
      <c r="RUR8" s="36"/>
      <c r="RUS8" s="36"/>
      <c r="RUT8" s="36"/>
      <c r="RUU8" s="36"/>
      <c r="RUV8" s="36"/>
      <c r="RUW8" s="36"/>
      <c r="RUX8" s="36"/>
      <c r="RUY8" s="36"/>
      <c r="RUZ8" s="36"/>
      <c r="RVA8" s="36"/>
      <c r="RVB8" s="36"/>
      <c r="RVC8" s="36"/>
      <c r="RVD8" s="36"/>
      <c r="RVE8" s="36"/>
      <c r="RVF8" s="36"/>
      <c r="RVG8" s="36"/>
      <c r="RVH8" s="36"/>
      <c r="RVI8" s="36"/>
      <c r="RVJ8" s="36"/>
      <c r="RVK8" s="36"/>
      <c r="RVL8" s="36"/>
      <c r="RVM8" s="36"/>
      <c r="RVN8" s="36"/>
      <c r="RVO8" s="36"/>
      <c r="RVP8" s="36"/>
      <c r="RVQ8" s="36"/>
      <c r="RVR8" s="36"/>
      <c r="RVS8" s="36"/>
      <c r="RVT8" s="36"/>
      <c r="RVU8" s="36"/>
      <c r="RVV8" s="36"/>
      <c r="RVW8" s="36"/>
      <c r="RVX8" s="36"/>
      <c r="RVY8" s="36"/>
      <c r="RVZ8" s="36"/>
      <c r="RWA8" s="36"/>
      <c r="RWB8" s="36"/>
      <c r="RWC8" s="36"/>
      <c r="RWD8" s="36"/>
      <c r="RWE8" s="36"/>
      <c r="RWF8" s="36"/>
      <c r="RWG8" s="36"/>
      <c r="RWH8" s="36"/>
      <c r="RWI8" s="36"/>
      <c r="RWJ8" s="36"/>
      <c r="RWK8" s="36"/>
      <c r="RWL8" s="36"/>
      <c r="RWM8" s="36"/>
      <c r="RWN8" s="36"/>
      <c r="RWO8" s="36"/>
      <c r="RWP8" s="36"/>
      <c r="RWQ8" s="36"/>
      <c r="RWR8" s="36"/>
      <c r="RWS8" s="36"/>
      <c r="RWT8" s="36"/>
      <c r="RWU8" s="36"/>
      <c r="RWV8" s="36"/>
      <c r="RWW8" s="36"/>
      <c r="RWX8" s="36"/>
      <c r="RWY8" s="36"/>
      <c r="RWZ8" s="36"/>
      <c r="RXA8" s="36"/>
      <c r="RXB8" s="36"/>
      <c r="RXC8" s="36"/>
      <c r="RXD8" s="36"/>
      <c r="RXE8" s="36"/>
      <c r="RXF8" s="36"/>
      <c r="RXG8" s="36"/>
      <c r="RXH8" s="36"/>
      <c r="RXI8" s="36"/>
      <c r="RXJ8" s="36"/>
      <c r="RXK8" s="36"/>
      <c r="RXL8" s="36"/>
      <c r="RXM8" s="36"/>
      <c r="RXN8" s="36"/>
      <c r="RXO8" s="36"/>
      <c r="RXP8" s="36"/>
      <c r="RXQ8" s="36"/>
      <c r="RXR8" s="36"/>
      <c r="RXS8" s="36"/>
      <c r="RXT8" s="36"/>
      <c r="RXU8" s="36"/>
      <c r="RXV8" s="36"/>
      <c r="RXW8" s="36"/>
      <c r="RXX8" s="36"/>
      <c r="RXY8" s="36"/>
      <c r="RXZ8" s="36"/>
      <c r="RYA8" s="36"/>
      <c r="RYB8" s="36"/>
      <c r="RYC8" s="36"/>
      <c r="RYD8" s="36"/>
      <c r="RYE8" s="36"/>
      <c r="RYF8" s="36"/>
      <c r="RYG8" s="36"/>
      <c r="RYH8" s="36"/>
      <c r="RYI8" s="36"/>
      <c r="RYJ8" s="36"/>
      <c r="RYK8" s="36"/>
      <c r="RYL8" s="36"/>
      <c r="RYM8" s="36"/>
      <c r="RYN8" s="36"/>
      <c r="RYO8" s="36"/>
      <c r="RYP8" s="36"/>
      <c r="RYQ8" s="36"/>
      <c r="RYR8" s="36"/>
      <c r="RYS8" s="36"/>
      <c r="RYT8" s="36"/>
      <c r="RYU8" s="36"/>
      <c r="RYV8" s="36"/>
      <c r="RYW8" s="36"/>
      <c r="RYX8" s="36"/>
      <c r="RYY8" s="36"/>
      <c r="RYZ8" s="36"/>
      <c r="RZA8" s="36"/>
      <c r="RZB8" s="36"/>
      <c r="RZC8" s="36"/>
      <c r="RZD8" s="36"/>
      <c r="RZE8" s="36"/>
      <c r="RZF8" s="36"/>
      <c r="RZG8" s="36"/>
      <c r="RZH8" s="36"/>
      <c r="RZI8" s="36"/>
      <c r="RZJ8" s="36"/>
      <c r="RZK8" s="36"/>
      <c r="RZL8" s="36"/>
      <c r="RZM8" s="36"/>
      <c r="RZN8" s="36"/>
      <c r="RZO8" s="36"/>
      <c r="RZP8" s="36"/>
      <c r="RZQ8" s="36"/>
      <c r="RZR8" s="36"/>
      <c r="RZS8" s="36"/>
      <c r="RZT8" s="36"/>
      <c r="RZU8" s="36"/>
      <c r="RZV8" s="36"/>
      <c r="RZW8" s="36"/>
      <c r="RZX8" s="36"/>
      <c r="RZY8" s="36"/>
      <c r="RZZ8" s="36"/>
      <c r="SAA8" s="36"/>
      <c r="SAB8" s="36"/>
      <c r="SAC8" s="36"/>
      <c r="SAD8" s="36"/>
      <c r="SAE8" s="36"/>
      <c r="SAF8" s="36"/>
      <c r="SAG8" s="36"/>
      <c r="SAH8" s="36"/>
      <c r="SAI8" s="36"/>
      <c r="SAJ8" s="36"/>
      <c r="SAK8" s="36"/>
      <c r="SAL8" s="36"/>
      <c r="SAM8" s="36"/>
      <c r="SAN8" s="36"/>
      <c r="SAO8" s="36"/>
      <c r="SAP8" s="36"/>
      <c r="SAQ8" s="36"/>
      <c r="SAR8" s="36"/>
      <c r="SAS8" s="36"/>
      <c r="SAT8" s="36"/>
      <c r="SAU8" s="36"/>
      <c r="SAV8" s="36"/>
      <c r="SAW8" s="36"/>
      <c r="SAX8" s="36"/>
      <c r="SAY8" s="36"/>
      <c r="SAZ8" s="36"/>
      <c r="SBA8" s="36"/>
      <c r="SBB8" s="36"/>
      <c r="SBC8" s="36"/>
      <c r="SBD8" s="36"/>
      <c r="SBE8" s="36"/>
      <c r="SBF8" s="36"/>
      <c r="SBG8" s="36"/>
      <c r="SBH8" s="36"/>
      <c r="SBI8" s="36"/>
      <c r="SBJ8" s="36"/>
      <c r="SBK8" s="36"/>
      <c r="SBL8" s="36"/>
      <c r="SBM8" s="36"/>
      <c r="SBN8" s="36"/>
      <c r="SBO8" s="36"/>
      <c r="SBP8" s="36"/>
      <c r="SBQ8" s="36"/>
      <c r="SBR8" s="36"/>
      <c r="SBS8" s="36"/>
      <c r="SBT8" s="36"/>
      <c r="SBU8" s="36"/>
      <c r="SBV8" s="36"/>
      <c r="SBW8" s="36"/>
      <c r="SBX8" s="36"/>
      <c r="SBY8" s="36"/>
      <c r="SBZ8" s="36"/>
      <c r="SCA8" s="36"/>
      <c r="SCB8" s="36"/>
      <c r="SCC8" s="36"/>
      <c r="SCD8" s="36"/>
      <c r="SCE8" s="36"/>
      <c r="SCF8" s="36"/>
      <c r="SCG8" s="36"/>
      <c r="SCH8" s="36"/>
      <c r="SCI8" s="36"/>
      <c r="SCJ8" s="36"/>
      <c r="SCK8" s="36"/>
      <c r="SCL8" s="36"/>
      <c r="SCM8" s="36"/>
      <c r="SCN8" s="36"/>
      <c r="SCO8" s="36"/>
      <c r="SCP8" s="36"/>
      <c r="SCQ8" s="36"/>
      <c r="SCR8" s="36"/>
      <c r="SCS8" s="36"/>
      <c r="SCT8" s="36"/>
      <c r="SCU8" s="36"/>
      <c r="SCV8" s="36"/>
      <c r="SCW8" s="36"/>
      <c r="SCX8" s="36"/>
      <c r="SCY8" s="36"/>
      <c r="SCZ8" s="36"/>
      <c r="SDA8" s="36"/>
      <c r="SDB8" s="36"/>
      <c r="SDC8" s="36"/>
      <c r="SDD8" s="36"/>
      <c r="SDE8" s="36"/>
      <c r="SDF8" s="36"/>
      <c r="SDG8" s="36"/>
      <c r="SDH8" s="36"/>
      <c r="SDI8" s="36"/>
      <c r="SDJ8" s="36"/>
      <c r="SDK8" s="36"/>
      <c r="SDL8" s="36"/>
      <c r="SDM8" s="36"/>
      <c r="SDN8" s="36"/>
      <c r="SDO8" s="36"/>
      <c r="SDP8" s="36"/>
      <c r="SDQ8" s="36"/>
      <c r="SDR8" s="36"/>
      <c r="SDS8" s="36"/>
      <c r="SDT8" s="36"/>
      <c r="SDU8" s="36"/>
      <c r="SDV8" s="36"/>
      <c r="SDW8" s="36"/>
      <c r="SDX8" s="36"/>
      <c r="SDY8" s="36"/>
      <c r="SDZ8" s="36"/>
      <c r="SEA8" s="36"/>
      <c r="SEB8" s="36"/>
      <c r="SEC8" s="36"/>
      <c r="SED8" s="36"/>
      <c r="SEE8" s="36"/>
      <c r="SEF8" s="36"/>
      <c r="SEG8" s="36"/>
      <c r="SEH8" s="36"/>
      <c r="SEI8" s="36"/>
      <c r="SEJ8" s="36"/>
      <c r="SEK8" s="36"/>
      <c r="SEL8" s="36"/>
      <c r="SEM8" s="36"/>
      <c r="SEN8" s="36"/>
      <c r="SEO8" s="36"/>
      <c r="SEP8" s="36"/>
      <c r="SEQ8" s="36"/>
      <c r="SER8" s="36"/>
      <c r="SES8" s="36"/>
      <c r="SET8" s="36"/>
      <c r="SEU8" s="36"/>
      <c r="SEV8" s="36"/>
      <c r="SEW8" s="36"/>
      <c r="SEX8" s="36"/>
      <c r="SEY8" s="36"/>
      <c r="SEZ8" s="36"/>
      <c r="SFA8" s="36"/>
      <c r="SFB8" s="36"/>
      <c r="SFC8" s="36"/>
      <c r="SFD8" s="36"/>
      <c r="SFE8" s="36"/>
      <c r="SFF8" s="36"/>
      <c r="SFG8" s="36"/>
      <c r="SFH8" s="36"/>
      <c r="SFI8" s="36"/>
      <c r="SFJ8" s="36"/>
      <c r="SFK8" s="36"/>
      <c r="SFL8" s="36"/>
      <c r="SFM8" s="36"/>
      <c r="SFN8" s="36"/>
      <c r="SFO8" s="36"/>
      <c r="SFP8" s="36"/>
      <c r="SFQ8" s="36"/>
      <c r="SFR8" s="36"/>
      <c r="SFS8" s="36"/>
      <c r="SFT8" s="36"/>
      <c r="SFU8" s="36"/>
      <c r="SFV8" s="36"/>
      <c r="SFW8" s="36"/>
      <c r="SFX8" s="36"/>
      <c r="SFY8" s="36"/>
      <c r="SFZ8" s="36"/>
      <c r="SGA8" s="36"/>
      <c r="SGB8" s="36"/>
      <c r="SGC8" s="36"/>
      <c r="SGD8" s="36"/>
      <c r="SGE8" s="36"/>
      <c r="SGF8" s="36"/>
      <c r="SGG8" s="36"/>
      <c r="SGH8" s="36"/>
      <c r="SGI8" s="36"/>
      <c r="SGJ8" s="36"/>
      <c r="SGK8" s="36"/>
      <c r="SGL8" s="36"/>
      <c r="SGM8" s="36"/>
      <c r="SGN8" s="36"/>
      <c r="SGO8" s="36"/>
      <c r="SGP8" s="36"/>
      <c r="SGQ8" s="36"/>
      <c r="SGR8" s="36"/>
      <c r="SGS8" s="36"/>
      <c r="SGT8" s="36"/>
      <c r="SGU8" s="36"/>
      <c r="SGV8" s="36"/>
      <c r="SGW8" s="36"/>
      <c r="SGX8" s="36"/>
      <c r="SGY8" s="36"/>
      <c r="SGZ8" s="36"/>
      <c r="SHA8" s="36"/>
      <c r="SHB8" s="36"/>
      <c r="SHC8" s="36"/>
      <c r="SHD8" s="36"/>
      <c r="SHE8" s="36"/>
      <c r="SHF8" s="36"/>
      <c r="SHG8" s="36"/>
      <c r="SHH8" s="36"/>
      <c r="SHI8" s="36"/>
      <c r="SHJ8" s="36"/>
      <c r="SHK8" s="36"/>
      <c r="SHL8" s="36"/>
      <c r="SHM8" s="36"/>
      <c r="SHN8" s="36"/>
      <c r="SHO8" s="36"/>
      <c r="SHP8" s="36"/>
      <c r="SHQ8" s="36"/>
      <c r="SHR8" s="36"/>
      <c r="SHS8" s="36"/>
      <c r="SHT8" s="36"/>
      <c r="SHU8" s="36"/>
      <c r="SHV8" s="36"/>
      <c r="SHW8" s="36"/>
      <c r="SHX8" s="36"/>
      <c r="SHY8" s="36"/>
      <c r="SHZ8" s="36"/>
      <c r="SIA8" s="36"/>
      <c r="SIB8" s="36"/>
      <c r="SIC8" s="36"/>
      <c r="SID8" s="36"/>
      <c r="SIE8" s="36"/>
      <c r="SIF8" s="36"/>
      <c r="SIG8" s="36"/>
      <c r="SIH8" s="36"/>
      <c r="SII8" s="36"/>
      <c r="SIJ8" s="36"/>
      <c r="SIK8" s="36"/>
      <c r="SIL8" s="36"/>
      <c r="SIM8" s="36"/>
      <c r="SIN8" s="36"/>
      <c r="SIO8" s="36"/>
      <c r="SIP8" s="36"/>
      <c r="SIQ8" s="36"/>
      <c r="SIR8" s="36"/>
      <c r="SIS8" s="36"/>
      <c r="SIT8" s="36"/>
      <c r="SIU8" s="36"/>
      <c r="SIV8" s="36"/>
      <c r="SIW8" s="36"/>
      <c r="SIX8" s="36"/>
      <c r="SIY8" s="36"/>
      <c r="SIZ8" s="36"/>
      <c r="SJA8" s="36"/>
      <c r="SJB8" s="36"/>
      <c r="SJC8" s="36"/>
      <c r="SJD8" s="36"/>
      <c r="SJE8" s="36"/>
      <c r="SJF8" s="36"/>
      <c r="SJG8" s="36"/>
      <c r="SJH8" s="36"/>
      <c r="SJI8" s="36"/>
      <c r="SJJ8" s="36"/>
      <c r="SJK8" s="36"/>
      <c r="SJL8" s="36"/>
      <c r="SJM8" s="36"/>
      <c r="SJN8" s="36"/>
      <c r="SJO8" s="36"/>
      <c r="SJP8" s="36"/>
      <c r="SJQ8" s="36"/>
      <c r="SJR8" s="36"/>
      <c r="SJS8" s="36"/>
      <c r="SJT8" s="36"/>
      <c r="SJU8" s="36"/>
      <c r="SJV8" s="36"/>
      <c r="SJW8" s="36"/>
      <c r="SJX8" s="36"/>
      <c r="SJY8" s="36"/>
      <c r="SJZ8" s="36"/>
      <c r="SKA8" s="36"/>
      <c r="SKB8" s="36"/>
      <c r="SKC8" s="36"/>
      <c r="SKD8" s="36"/>
      <c r="SKE8" s="36"/>
      <c r="SKF8" s="36"/>
      <c r="SKG8" s="36"/>
      <c r="SKH8" s="36"/>
      <c r="SKI8" s="36"/>
      <c r="SKJ8" s="36"/>
      <c r="SKK8" s="36"/>
      <c r="SKL8" s="36"/>
      <c r="SKM8" s="36"/>
      <c r="SKN8" s="36"/>
      <c r="SKO8" s="36"/>
      <c r="SKP8" s="36"/>
      <c r="SKQ8" s="36"/>
      <c r="SKR8" s="36"/>
      <c r="SKS8" s="36"/>
      <c r="SKT8" s="36"/>
      <c r="SKU8" s="36"/>
      <c r="SKV8" s="36"/>
      <c r="SKW8" s="36"/>
      <c r="SKX8" s="36"/>
      <c r="SKY8" s="36"/>
      <c r="SKZ8" s="36"/>
      <c r="SLA8" s="36"/>
      <c r="SLB8" s="36"/>
      <c r="SLC8" s="36"/>
      <c r="SLD8" s="36"/>
      <c r="SLE8" s="36"/>
      <c r="SLF8" s="36"/>
      <c r="SLG8" s="36"/>
      <c r="SLH8" s="36"/>
      <c r="SLI8" s="36"/>
      <c r="SLJ8" s="36"/>
      <c r="SLK8" s="36"/>
      <c r="SLL8" s="36"/>
      <c r="SLM8" s="36"/>
      <c r="SLN8" s="36"/>
      <c r="SLO8" s="36"/>
      <c r="SLP8" s="36"/>
      <c r="SLQ8" s="36"/>
      <c r="SLR8" s="36"/>
      <c r="SLS8" s="36"/>
      <c r="SLT8" s="36"/>
      <c r="SLU8" s="36"/>
      <c r="SLV8" s="36"/>
      <c r="SLW8" s="36"/>
      <c r="SLX8" s="36"/>
      <c r="SLY8" s="36"/>
      <c r="SLZ8" s="36"/>
      <c r="SMA8" s="36"/>
      <c r="SMB8" s="36"/>
      <c r="SMC8" s="36"/>
      <c r="SMD8" s="36"/>
      <c r="SME8" s="36"/>
      <c r="SMF8" s="36"/>
      <c r="SMG8" s="36"/>
      <c r="SMH8" s="36"/>
      <c r="SMI8" s="36"/>
      <c r="SMJ8" s="36"/>
      <c r="SMK8" s="36"/>
      <c r="SML8" s="36"/>
      <c r="SMM8" s="36"/>
      <c r="SMN8" s="36"/>
      <c r="SMO8" s="36"/>
      <c r="SMP8" s="36"/>
      <c r="SMQ8" s="36"/>
      <c r="SMR8" s="36"/>
      <c r="SMS8" s="36"/>
      <c r="SMT8" s="36"/>
      <c r="SMU8" s="36"/>
      <c r="SMV8" s="36"/>
      <c r="SMW8" s="36"/>
      <c r="SMX8" s="36"/>
      <c r="SMY8" s="36"/>
      <c r="SMZ8" s="36"/>
      <c r="SNA8" s="36"/>
      <c r="SNB8" s="36"/>
      <c r="SNC8" s="36"/>
      <c r="SND8" s="36"/>
      <c r="SNE8" s="36"/>
      <c r="SNF8" s="36"/>
      <c r="SNG8" s="36"/>
      <c r="SNH8" s="36"/>
      <c r="SNI8" s="36"/>
      <c r="SNJ8" s="36"/>
      <c r="SNK8" s="36"/>
      <c r="SNL8" s="36"/>
      <c r="SNM8" s="36"/>
      <c r="SNN8" s="36"/>
      <c r="SNO8" s="36"/>
      <c r="SNP8" s="36"/>
      <c r="SNQ8" s="36"/>
      <c r="SNR8" s="36"/>
      <c r="SNS8" s="36"/>
      <c r="SNT8" s="36"/>
      <c r="SNU8" s="36"/>
      <c r="SNV8" s="36"/>
      <c r="SNW8" s="36"/>
      <c r="SNX8" s="36"/>
      <c r="SNY8" s="36"/>
      <c r="SNZ8" s="36"/>
      <c r="SOA8" s="36"/>
      <c r="SOB8" s="36"/>
      <c r="SOC8" s="36"/>
      <c r="SOD8" s="36"/>
      <c r="SOE8" s="36"/>
      <c r="SOF8" s="36"/>
      <c r="SOG8" s="36"/>
      <c r="SOH8" s="36"/>
      <c r="SOI8" s="36"/>
      <c r="SOJ8" s="36"/>
      <c r="SOK8" s="36"/>
      <c r="SOL8" s="36"/>
      <c r="SOM8" s="36"/>
      <c r="SON8" s="36"/>
      <c r="SOO8" s="36"/>
      <c r="SOP8" s="36"/>
      <c r="SOQ8" s="36"/>
      <c r="SOR8" s="36"/>
      <c r="SOS8" s="36"/>
      <c r="SOT8" s="36"/>
      <c r="SOU8" s="36"/>
      <c r="SOV8" s="36"/>
      <c r="SOW8" s="36"/>
      <c r="SOX8" s="36"/>
      <c r="SOY8" s="36"/>
      <c r="SOZ8" s="36"/>
      <c r="SPA8" s="36"/>
      <c r="SPB8" s="36"/>
      <c r="SPC8" s="36"/>
      <c r="SPD8" s="36"/>
      <c r="SPE8" s="36"/>
      <c r="SPF8" s="36"/>
      <c r="SPG8" s="36"/>
      <c r="SPH8" s="36"/>
      <c r="SPI8" s="36"/>
      <c r="SPJ8" s="36"/>
      <c r="SPK8" s="36"/>
      <c r="SPL8" s="36"/>
      <c r="SPM8" s="36"/>
      <c r="SPN8" s="36"/>
      <c r="SPO8" s="36"/>
      <c r="SPP8" s="36"/>
      <c r="SPQ8" s="36"/>
      <c r="SPR8" s="36"/>
      <c r="SPS8" s="36"/>
      <c r="SPT8" s="36"/>
      <c r="SPU8" s="36"/>
      <c r="SPV8" s="36"/>
      <c r="SPW8" s="36"/>
      <c r="SPX8" s="36"/>
      <c r="SPY8" s="36"/>
      <c r="SPZ8" s="36"/>
      <c r="SQA8" s="36"/>
      <c r="SQB8" s="36"/>
      <c r="SQC8" s="36"/>
      <c r="SQD8" s="36"/>
      <c r="SQE8" s="36"/>
      <c r="SQF8" s="36"/>
      <c r="SQG8" s="36"/>
      <c r="SQH8" s="36"/>
      <c r="SQI8" s="36"/>
      <c r="SQJ8" s="36"/>
      <c r="SQK8" s="36"/>
      <c r="SQL8" s="36"/>
      <c r="SQM8" s="36"/>
      <c r="SQN8" s="36"/>
      <c r="SQO8" s="36"/>
      <c r="SQP8" s="36"/>
      <c r="SQQ8" s="36"/>
      <c r="SQR8" s="36"/>
      <c r="SQS8" s="36"/>
      <c r="SQT8" s="36"/>
      <c r="SQU8" s="36"/>
      <c r="SQV8" s="36"/>
      <c r="SQW8" s="36"/>
      <c r="SQX8" s="36"/>
      <c r="SQY8" s="36"/>
      <c r="SQZ8" s="36"/>
      <c r="SRA8" s="36"/>
      <c r="SRB8" s="36"/>
      <c r="SRC8" s="36"/>
      <c r="SRD8" s="36"/>
      <c r="SRE8" s="36"/>
      <c r="SRF8" s="36"/>
      <c r="SRG8" s="36"/>
      <c r="SRH8" s="36"/>
      <c r="SRI8" s="36"/>
      <c r="SRJ8" s="36"/>
      <c r="SRK8" s="36"/>
      <c r="SRL8" s="36"/>
      <c r="SRM8" s="36"/>
      <c r="SRN8" s="36"/>
      <c r="SRO8" s="36"/>
      <c r="SRP8" s="36"/>
      <c r="SRQ8" s="36"/>
      <c r="SRR8" s="36"/>
      <c r="SRS8" s="36"/>
      <c r="SRT8" s="36"/>
      <c r="SRU8" s="36"/>
      <c r="SRV8" s="36"/>
      <c r="SRW8" s="36"/>
      <c r="SRX8" s="36"/>
      <c r="SRY8" s="36"/>
      <c r="SRZ8" s="36"/>
      <c r="SSA8" s="36"/>
      <c r="SSB8" s="36"/>
      <c r="SSC8" s="36"/>
      <c r="SSD8" s="36"/>
      <c r="SSE8" s="36"/>
      <c r="SSF8" s="36"/>
      <c r="SSG8" s="36"/>
      <c r="SSH8" s="36"/>
      <c r="SSI8" s="36"/>
      <c r="SSJ8" s="36"/>
      <c r="SSK8" s="36"/>
      <c r="SSL8" s="36"/>
      <c r="SSM8" s="36"/>
      <c r="SSN8" s="36"/>
      <c r="SSO8" s="36"/>
      <c r="SSP8" s="36"/>
      <c r="SSQ8" s="36"/>
      <c r="SSR8" s="36"/>
      <c r="SSS8" s="36"/>
      <c r="SST8" s="36"/>
      <c r="SSU8" s="36"/>
      <c r="SSV8" s="36"/>
      <c r="SSW8" s="36"/>
      <c r="SSX8" s="36"/>
      <c r="SSY8" s="36"/>
      <c r="SSZ8" s="36"/>
      <c r="STA8" s="36"/>
      <c r="STB8" s="36"/>
      <c r="STC8" s="36"/>
      <c r="STD8" s="36"/>
      <c r="STE8" s="36"/>
      <c r="STF8" s="36"/>
      <c r="STG8" s="36"/>
      <c r="STH8" s="36"/>
      <c r="STI8" s="36"/>
      <c r="STJ8" s="36"/>
      <c r="STK8" s="36"/>
      <c r="STL8" s="36"/>
      <c r="STM8" s="36"/>
      <c r="STN8" s="36"/>
      <c r="STO8" s="36"/>
      <c r="STP8" s="36"/>
      <c r="STQ8" s="36"/>
      <c r="STR8" s="36"/>
      <c r="STS8" s="36"/>
      <c r="STT8" s="36"/>
      <c r="STU8" s="36"/>
      <c r="STV8" s="36"/>
      <c r="STW8" s="36"/>
      <c r="STX8" s="36"/>
      <c r="STY8" s="36"/>
      <c r="STZ8" s="36"/>
      <c r="SUA8" s="36"/>
      <c r="SUB8" s="36"/>
      <c r="SUC8" s="36"/>
      <c r="SUD8" s="36"/>
      <c r="SUE8" s="36"/>
      <c r="SUF8" s="36"/>
      <c r="SUG8" s="36"/>
      <c r="SUH8" s="36"/>
      <c r="SUI8" s="36"/>
      <c r="SUJ8" s="36"/>
      <c r="SUK8" s="36"/>
      <c r="SUL8" s="36"/>
      <c r="SUM8" s="36"/>
      <c r="SUN8" s="36"/>
      <c r="SUO8" s="36"/>
      <c r="SUP8" s="36"/>
      <c r="SUQ8" s="36"/>
      <c r="SUR8" s="36"/>
      <c r="SUS8" s="36"/>
      <c r="SUT8" s="36"/>
      <c r="SUU8" s="36"/>
      <c r="SUV8" s="36"/>
      <c r="SUW8" s="36"/>
      <c r="SUX8" s="36"/>
      <c r="SUY8" s="36"/>
      <c r="SUZ8" s="36"/>
      <c r="SVA8" s="36"/>
      <c r="SVB8" s="36"/>
      <c r="SVC8" s="36"/>
      <c r="SVD8" s="36"/>
      <c r="SVE8" s="36"/>
      <c r="SVF8" s="36"/>
      <c r="SVG8" s="36"/>
      <c r="SVH8" s="36"/>
      <c r="SVI8" s="36"/>
      <c r="SVJ8" s="36"/>
      <c r="SVK8" s="36"/>
      <c r="SVL8" s="36"/>
      <c r="SVM8" s="36"/>
      <c r="SVN8" s="36"/>
      <c r="SVO8" s="36"/>
      <c r="SVP8" s="36"/>
      <c r="SVQ8" s="36"/>
      <c r="SVR8" s="36"/>
      <c r="SVS8" s="36"/>
      <c r="SVT8" s="36"/>
      <c r="SVU8" s="36"/>
      <c r="SVV8" s="36"/>
      <c r="SVW8" s="36"/>
      <c r="SVX8" s="36"/>
      <c r="SVY8" s="36"/>
      <c r="SVZ8" s="36"/>
      <c r="SWA8" s="36"/>
      <c r="SWB8" s="36"/>
      <c r="SWC8" s="36"/>
      <c r="SWD8" s="36"/>
      <c r="SWE8" s="36"/>
      <c r="SWF8" s="36"/>
      <c r="SWG8" s="36"/>
      <c r="SWH8" s="36"/>
      <c r="SWI8" s="36"/>
      <c r="SWJ8" s="36"/>
      <c r="SWK8" s="36"/>
      <c r="SWL8" s="36"/>
      <c r="SWM8" s="36"/>
      <c r="SWN8" s="36"/>
      <c r="SWO8" s="36"/>
      <c r="SWP8" s="36"/>
      <c r="SWQ8" s="36"/>
      <c r="SWR8" s="36"/>
      <c r="SWS8" s="36"/>
      <c r="SWT8" s="36"/>
      <c r="SWU8" s="36"/>
      <c r="SWV8" s="36"/>
      <c r="SWW8" s="36"/>
      <c r="SWX8" s="36"/>
      <c r="SWY8" s="36"/>
      <c r="SWZ8" s="36"/>
      <c r="SXA8" s="36"/>
      <c r="SXB8" s="36"/>
      <c r="SXC8" s="36"/>
      <c r="SXD8" s="36"/>
      <c r="SXE8" s="36"/>
      <c r="SXF8" s="36"/>
      <c r="SXG8" s="36"/>
      <c r="SXH8" s="36"/>
      <c r="SXI8" s="36"/>
      <c r="SXJ8" s="36"/>
      <c r="SXK8" s="36"/>
      <c r="SXL8" s="36"/>
      <c r="SXM8" s="36"/>
      <c r="SXN8" s="36"/>
      <c r="SXO8" s="36"/>
      <c r="SXP8" s="36"/>
      <c r="SXQ8" s="36"/>
      <c r="SXR8" s="36"/>
      <c r="SXS8" s="36"/>
      <c r="SXT8" s="36"/>
      <c r="SXU8" s="36"/>
      <c r="SXV8" s="36"/>
      <c r="SXW8" s="36"/>
      <c r="SXX8" s="36"/>
      <c r="SXY8" s="36"/>
      <c r="SXZ8" s="36"/>
      <c r="SYA8" s="36"/>
      <c r="SYB8" s="36"/>
      <c r="SYC8" s="36"/>
      <c r="SYD8" s="36"/>
      <c r="SYE8" s="36"/>
      <c r="SYF8" s="36"/>
      <c r="SYG8" s="36"/>
      <c r="SYH8" s="36"/>
      <c r="SYI8" s="36"/>
      <c r="SYJ8" s="36"/>
      <c r="SYK8" s="36"/>
      <c r="SYL8" s="36"/>
      <c r="SYM8" s="36"/>
      <c r="SYN8" s="36"/>
      <c r="SYO8" s="36"/>
      <c r="SYP8" s="36"/>
      <c r="SYQ8" s="36"/>
      <c r="SYR8" s="36"/>
      <c r="SYS8" s="36"/>
      <c r="SYT8" s="36"/>
      <c r="SYU8" s="36"/>
      <c r="SYV8" s="36"/>
      <c r="SYW8" s="36"/>
      <c r="SYX8" s="36"/>
      <c r="SYY8" s="36"/>
      <c r="SYZ8" s="36"/>
      <c r="SZA8" s="36"/>
      <c r="SZB8" s="36"/>
      <c r="SZC8" s="36"/>
      <c r="SZD8" s="36"/>
      <c r="SZE8" s="36"/>
      <c r="SZF8" s="36"/>
      <c r="SZG8" s="36"/>
      <c r="SZH8" s="36"/>
      <c r="SZI8" s="36"/>
      <c r="SZJ8" s="36"/>
      <c r="SZK8" s="36"/>
      <c r="SZL8" s="36"/>
      <c r="SZM8" s="36"/>
      <c r="SZN8" s="36"/>
      <c r="SZO8" s="36"/>
      <c r="SZP8" s="36"/>
      <c r="SZQ8" s="36"/>
      <c r="SZR8" s="36"/>
      <c r="SZS8" s="36"/>
      <c r="SZT8" s="36"/>
      <c r="SZU8" s="36"/>
      <c r="SZV8" s="36"/>
      <c r="SZW8" s="36"/>
      <c r="SZX8" s="36"/>
      <c r="SZY8" s="36"/>
      <c r="SZZ8" s="36"/>
      <c r="TAA8" s="36"/>
      <c r="TAB8" s="36"/>
      <c r="TAC8" s="36"/>
      <c r="TAD8" s="36"/>
      <c r="TAE8" s="36"/>
      <c r="TAF8" s="36"/>
      <c r="TAG8" s="36"/>
      <c r="TAH8" s="36"/>
      <c r="TAI8" s="36"/>
      <c r="TAJ8" s="36"/>
      <c r="TAK8" s="36"/>
      <c r="TAL8" s="36"/>
      <c r="TAM8" s="36"/>
      <c r="TAN8" s="36"/>
      <c r="TAO8" s="36"/>
      <c r="TAP8" s="36"/>
      <c r="TAQ8" s="36"/>
      <c r="TAR8" s="36"/>
      <c r="TAS8" s="36"/>
      <c r="TAT8" s="36"/>
      <c r="TAU8" s="36"/>
      <c r="TAV8" s="36"/>
      <c r="TAW8" s="36"/>
      <c r="TAX8" s="36"/>
      <c r="TAY8" s="36"/>
      <c r="TAZ8" s="36"/>
      <c r="TBA8" s="36"/>
      <c r="TBB8" s="36"/>
      <c r="TBC8" s="36"/>
      <c r="TBD8" s="36"/>
      <c r="TBE8" s="36"/>
      <c r="TBF8" s="36"/>
      <c r="TBG8" s="36"/>
      <c r="TBH8" s="36"/>
      <c r="TBI8" s="36"/>
      <c r="TBJ8" s="36"/>
      <c r="TBK8" s="36"/>
      <c r="TBL8" s="36"/>
      <c r="TBM8" s="36"/>
      <c r="TBN8" s="36"/>
      <c r="TBO8" s="36"/>
      <c r="TBP8" s="36"/>
      <c r="TBQ8" s="36"/>
      <c r="TBR8" s="36"/>
      <c r="TBS8" s="36"/>
      <c r="TBT8" s="36"/>
      <c r="TBU8" s="36"/>
      <c r="TBV8" s="36"/>
      <c r="TBW8" s="36"/>
      <c r="TBX8" s="36"/>
      <c r="TBY8" s="36"/>
      <c r="TBZ8" s="36"/>
      <c r="TCA8" s="36"/>
      <c r="TCB8" s="36"/>
      <c r="TCC8" s="36"/>
      <c r="TCD8" s="36"/>
      <c r="TCE8" s="36"/>
      <c r="TCF8" s="36"/>
      <c r="TCG8" s="36"/>
      <c r="TCH8" s="36"/>
      <c r="TCI8" s="36"/>
      <c r="TCJ8" s="36"/>
      <c r="TCK8" s="36"/>
      <c r="TCL8" s="36"/>
      <c r="TCM8" s="36"/>
      <c r="TCN8" s="36"/>
      <c r="TCO8" s="36"/>
      <c r="TCP8" s="36"/>
      <c r="TCQ8" s="36"/>
      <c r="TCR8" s="36"/>
      <c r="TCS8" s="36"/>
      <c r="TCT8" s="36"/>
      <c r="TCU8" s="36"/>
      <c r="TCV8" s="36"/>
      <c r="TCW8" s="36"/>
      <c r="TCX8" s="36"/>
      <c r="TCY8" s="36"/>
      <c r="TCZ8" s="36"/>
      <c r="TDA8" s="36"/>
      <c r="TDB8" s="36"/>
      <c r="TDC8" s="36"/>
      <c r="TDD8" s="36"/>
      <c r="TDE8" s="36"/>
      <c r="TDF8" s="36"/>
      <c r="TDG8" s="36"/>
      <c r="TDH8" s="36"/>
      <c r="TDI8" s="36"/>
      <c r="TDJ8" s="36"/>
      <c r="TDK8" s="36"/>
      <c r="TDL8" s="36"/>
      <c r="TDM8" s="36"/>
      <c r="TDN8" s="36"/>
      <c r="TDO8" s="36"/>
      <c r="TDP8" s="36"/>
      <c r="TDQ8" s="36"/>
      <c r="TDR8" s="36"/>
      <c r="TDS8" s="36"/>
      <c r="TDT8" s="36"/>
      <c r="TDU8" s="36"/>
      <c r="TDV8" s="36"/>
      <c r="TDW8" s="36"/>
      <c r="TDX8" s="36"/>
      <c r="TDY8" s="36"/>
      <c r="TDZ8" s="36"/>
      <c r="TEA8" s="36"/>
      <c r="TEB8" s="36"/>
      <c r="TEC8" s="36"/>
      <c r="TED8" s="36"/>
      <c r="TEE8" s="36"/>
      <c r="TEF8" s="36"/>
      <c r="TEG8" s="36"/>
      <c r="TEH8" s="36"/>
      <c r="TEI8" s="36"/>
      <c r="TEJ8" s="36"/>
      <c r="TEK8" s="36"/>
      <c r="TEL8" s="36"/>
      <c r="TEM8" s="36"/>
      <c r="TEN8" s="36"/>
      <c r="TEO8" s="36"/>
      <c r="TEP8" s="36"/>
      <c r="TEQ8" s="36"/>
      <c r="TER8" s="36"/>
      <c r="TES8" s="36"/>
      <c r="TET8" s="36"/>
      <c r="TEU8" s="36"/>
      <c r="TEV8" s="36"/>
      <c r="TEW8" s="36"/>
      <c r="TEX8" s="36"/>
      <c r="TEY8" s="36"/>
      <c r="TEZ8" s="36"/>
      <c r="TFA8" s="36"/>
      <c r="TFB8" s="36"/>
      <c r="TFC8" s="36"/>
      <c r="TFD8" s="36"/>
      <c r="TFE8" s="36"/>
      <c r="TFF8" s="36"/>
      <c r="TFG8" s="36"/>
      <c r="TFH8" s="36"/>
      <c r="TFI8" s="36"/>
      <c r="TFJ8" s="36"/>
      <c r="TFK8" s="36"/>
      <c r="TFL8" s="36"/>
      <c r="TFM8" s="36"/>
      <c r="TFN8" s="36"/>
      <c r="TFO8" s="36"/>
      <c r="TFP8" s="36"/>
      <c r="TFQ8" s="36"/>
      <c r="TFR8" s="36"/>
      <c r="TFS8" s="36"/>
      <c r="TFT8" s="36"/>
      <c r="TFU8" s="36"/>
      <c r="TFV8" s="36"/>
      <c r="TFW8" s="36"/>
      <c r="TFX8" s="36"/>
      <c r="TFY8" s="36"/>
      <c r="TFZ8" s="36"/>
      <c r="TGA8" s="36"/>
      <c r="TGB8" s="36"/>
      <c r="TGC8" s="36"/>
      <c r="TGD8" s="36"/>
      <c r="TGE8" s="36"/>
      <c r="TGF8" s="36"/>
      <c r="TGG8" s="36"/>
      <c r="TGH8" s="36"/>
      <c r="TGI8" s="36"/>
      <c r="TGJ8" s="36"/>
      <c r="TGK8" s="36"/>
      <c r="TGL8" s="36"/>
      <c r="TGM8" s="36"/>
      <c r="TGN8" s="36"/>
      <c r="TGO8" s="36"/>
      <c r="TGP8" s="36"/>
      <c r="TGQ8" s="36"/>
      <c r="TGR8" s="36"/>
      <c r="TGS8" s="36"/>
      <c r="TGT8" s="36"/>
      <c r="TGU8" s="36"/>
      <c r="TGV8" s="36"/>
      <c r="TGW8" s="36"/>
      <c r="TGX8" s="36"/>
      <c r="TGY8" s="36"/>
      <c r="TGZ8" s="36"/>
      <c r="THA8" s="36"/>
      <c r="THB8" s="36"/>
      <c r="THC8" s="36"/>
      <c r="THD8" s="36"/>
      <c r="THE8" s="36"/>
      <c r="THF8" s="36"/>
      <c r="THG8" s="36"/>
      <c r="THH8" s="36"/>
      <c r="THI8" s="36"/>
      <c r="THJ8" s="36"/>
      <c r="THK8" s="36"/>
      <c r="THL8" s="36"/>
      <c r="THM8" s="36"/>
      <c r="THN8" s="36"/>
      <c r="THO8" s="36"/>
      <c r="THP8" s="36"/>
      <c r="THQ8" s="36"/>
      <c r="THR8" s="36"/>
      <c r="THS8" s="36"/>
      <c r="THT8" s="36"/>
      <c r="THU8" s="36"/>
      <c r="THV8" s="36"/>
      <c r="THW8" s="36"/>
      <c r="THX8" s="36"/>
      <c r="THY8" s="36"/>
      <c r="THZ8" s="36"/>
      <c r="TIA8" s="36"/>
      <c r="TIB8" s="36"/>
      <c r="TIC8" s="36"/>
      <c r="TID8" s="36"/>
      <c r="TIE8" s="36"/>
      <c r="TIF8" s="36"/>
      <c r="TIG8" s="36"/>
      <c r="TIH8" s="36"/>
      <c r="TII8" s="36"/>
      <c r="TIJ8" s="36"/>
      <c r="TIK8" s="36"/>
      <c r="TIL8" s="36"/>
      <c r="TIM8" s="36"/>
      <c r="TIN8" s="36"/>
      <c r="TIO8" s="36"/>
      <c r="TIP8" s="36"/>
      <c r="TIQ8" s="36"/>
      <c r="TIR8" s="36"/>
      <c r="TIS8" s="36"/>
      <c r="TIT8" s="36"/>
      <c r="TIU8" s="36"/>
      <c r="TIV8" s="36"/>
      <c r="TIW8" s="36"/>
      <c r="TIX8" s="36"/>
      <c r="TIY8" s="36"/>
      <c r="TIZ8" s="36"/>
      <c r="TJA8" s="36"/>
      <c r="TJB8" s="36"/>
      <c r="TJC8" s="36"/>
      <c r="TJD8" s="36"/>
      <c r="TJE8" s="36"/>
      <c r="TJF8" s="36"/>
      <c r="TJG8" s="36"/>
      <c r="TJH8" s="36"/>
      <c r="TJI8" s="36"/>
      <c r="TJJ8" s="36"/>
      <c r="TJK8" s="36"/>
      <c r="TJL8" s="36"/>
      <c r="TJM8" s="36"/>
      <c r="TJN8" s="36"/>
      <c r="TJO8" s="36"/>
      <c r="TJP8" s="36"/>
      <c r="TJQ8" s="36"/>
      <c r="TJR8" s="36"/>
      <c r="TJS8" s="36"/>
      <c r="TJT8" s="36"/>
      <c r="TJU8" s="36"/>
      <c r="TJV8" s="36"/>
      <c r="TJW8" s="36"/>
      <c r="TJX8" s="36"/>
      <c r="TJY8" s="36"/>
      <c r="TJZ8" s="36"/>
      <c r="TKA8" s="36"/>
      <c r="TKB8" s="36"/>
      <c r="TKC8" s="36"/>
      <c r="TKD8" s="36"/>
      <c r="TKE8" s="36"/>
      <c r="TKF8" s="36"/>
      <c r="TKG8" s="36"/>
      <c r="TKH8" s="36"/>
      <c r="TKI8" s="36"/>
      <c r="TKJ8" s="36"/>
      <c r="TKK8" s="36"/>
      <c r="TKL8" s="36"/>
      <c r="TKM8" s="36"/>
      <c r="TKN8" s="36"/>
      <c r="TKO8" s="36"/>
      <c r="TKP8" s="36"/>
      <c r="TKQ8" s="36"/>
      <c r="TKR8" s="36"/>
      <c r="TKS8" s="36"/>
      <c r="TKT8" s="36"/>
      <c r="TKU8" s="36"/>
      <c r="TKV8" s="36"/>
      <c r="TKW8" s="36"/>
      <c r="TKX8" s="36"/>
      <c r="TKY8" s="36"/>
      <c r="TKZ8" s="36"/>
      <c r="TLA8" s="36"/>
      <c r="TLB8" s="36"/>
      <c r="TLC8" s="36"/>
      <c r="TLD8" s="36"/>
      <c r="TLE8" s="36"/>
      <c r="TLF8" s="36"/>
      <c r="TLG8" s="36"/>
      <c r="TLH8" s="36"/>
      <c r="TLI8" s="36"/>
      <c r="TLJ8" s="36"/>
      <c r="TLK8" s="36"/>
      <c r="TLL8" s="36"/>
      <c r="TLM8" s="36"/>
      <c r="TLN8" s="36"/>
      <c r="TLO8" s="36"/>
      <c r="TLP8" s="36"/>
      <c r="TLQ8" s="36"/>
      <c r="TLR8" s="36"/>
      <c r="TLS8" s="36"/>
      <c r="TLT8" s="36"/>
      <c r="TLU8" s="36"/>
      <c r="TLV8" s="36"/>
      <c r="TLW8" s="36"/>
      <c r="TLX8" s="36"/>
      <c r="TLY8" s="36"/>
      <c r="TLZ8" s="36"/>
      <c r="TMA8" s="36"/>
      <c r="TMB8" s="36"/>
      <c r="TMC8" s="36"/>
      <c r="TMD8" s="36"/>
      <c r="TME8" s="36"/>
      <c r="TMF8" s="36"/>
      <c r="TMG8" s="36"/>
      <c r="TMH8" s="36"/>
      <c r="TMI8" s="36"/>
      <c r="TMJ8" s="36"/>
      <c r="TMK8" s="36"/>
      <c r="TML8" s="36"/>
      <c r="TMM8" s="36"/>
      <c r="TMN8" s="36"/>
      <c r="TMO8" s="36"/>
      <c r="TMP8" s="36"/>
      <c r="TMQ8" s="36"/>
      <c r="TMR8" s="36"/>
      <c r="TMS8" s="36"/>
      <c r="TMT8" s="36"/>
      <c r="TMU8" s="36"/>
      <c r="TMV8" s="36"/>
      <c r="TMW8" s="36"/>
      <c r="TMX8" s="36"/>
      <c r="TMY8" s="36"/>
      <c r="TMZ8" s="36"/>
      <c r="TNA8" s="36"/>
      <c r="TNB8" s="36"/>
      <c r="TNC8" s="36"/>
      <c r="TND8" s="36"/>
      <c r="TNE8" s="36"/>
      <c r="TNF8" s="36"/>
      <c r="TNG8" s="36"/>
      <c r="TNH8" s="36"/>
      <c r="TNI8" s="36"/>
      <c r="TNJ8" s="36"/>
      <c r="TNK8" s="36"/>
      <c r="TNL8" s="36"/>
      <c r="TNM8" s="36"/>
      <c r="TNN8" s="36"/>
      <c r="TNO8" s="36"/>
      <c r="TNP8" s="36"/>
      <c r="TNQ8" s="36"/>
      <c r="TNR8" s="36"/>
      <c r="TNS8" s="36"/>
      <c r="TNT8" s="36"/>
      <c r="TNU8" s="36"/>
      <c r="TNV8" s="36"/>
      <c r="TNW8" s="36"/>
      <c r="TNX8" s="36"/>
      <c r="TNY8" s="36"/>
      <c r="TNZ8" s="36"/>
      <c r="TOA8" s="36"/>
      <c r="TOB8" s="36"/>
      <c r="TOC8" s="36"/>
      <c r="TOD8" s="36"/>
      <c r="TOE8" s="36"/>
      <c r="TOF8" s="36"/>
      <c r="TOG8" s="36"/>
      <c r="TOH8" s="36"/>
      <c r="TOI8" s="36"/>
      <c r="TOJ8" s="36"/>
      <c r="TOK8" s="36"/>
      <c r="TOL8" s="36"/>
      <c r="TOM8" s="36"/>
      <c r="TON8" s="36"/>
      <c r="TOO8" s="36"/>
      <c r="TOP8" s="36"/>
      <c r="TOQ8" s="36"/>
      <c r="TOR8" s="36"/>
      <c r="TOS8" s="36"/>
      <c r="TOT8" s="36"/>
      <c r="TOU8" s="36"/>
      <c r="TOV8" s="36"/>
      <c r="TOW8" s="36"/>
      <c r="TOX8" s="36"/>
      <c r="TOY8" s="36"/>
      <c r="TOZ8" s="36"/>
      <c r="TPA8" s="36"/>
      <c r="TPB8" s="36"/>
      <c r="TPC8" s="36"/>
      <c r="TPD8" s="36"/>
      <c r="TPE8" s="36"/>
      <c r="TPF8" s="36"/>
      <c r="TPG8" s="36"/>
      <c r="TPH8" s="36"/>
      <c r="TPI8" s="36"/>
      <c r="TPJ8" s="36"/>
      <c r="TPK8" s="36"/>
      <c r="TPL8" s="36"/>
      <c r="TPM8" s="36"/>
      <c r="TPN8" s="36"/>
      <c r="TPO8" s="36"/>
      <c r="TPP8" s="36"/>
      <c r="TPQ8" s="36"/>
      <c r="TPR8" s="36"/>
      <c r="TPS8" s="36"/>
      <c r="TPT8" s="36"/>
      <c r="TPU8" s="36"/>
      <c r="TPV8" s="36"/>
      <c r="TPW8" s="36"/>
      <c r="TPX8" s="36"/>
      <c r="TPY8" s="36"/>
      <c r="TPZ8" s="36"/>
      <c r="TQA8" s="36"/>
      <c r="TQB8" s="36"/>
      <c r="TQC8" s="36"/>
      <c r="TQD8" s="36"/>
      <c r="TQE8" s="36"/>
      <c r="TQF8" s="36"/>
      <c r="TQG8" s="36"/>
      <c r="TQH8" s="36"/>
      <c r="TQI8" s="36"/>
      <c r="TQJ8" s="36"/>
      <c r="TQK8" s="36"/>
      <c r="TQL8" s="36"/>
      <c r="TQM8" s="36"/>
      <c r="TQN8" s="36"/>
      <c r="TQO8" s="36"/>
      <c r="TQP8" s="36"/>
      <c r="TQQ8" s="36"/>
      <c r="TQR8" s="36"/>
      <c r="TQS8" s="36"/>
      <c r="TQT8" s="36"/>
      <c r="TQU8" s="36"/>
      <c r="TQV8" s="36"/>
      <c r="TQW8" s="36"/>
      <c r="TQX8" s="36"/>
      <c r="TQY8" s="36"/>
      <c r="TQZ8" s="36"/>
      <c r="TRA8" s="36"/>
      <c r="TRB8" s="36"/>
      <c r="TRC8" s="36"/>
      <c r="TRD8" s="36"/>
      <c r="TRE8" s="36"/>
      <c r="TRF8" s="36"/>
      <c r="TRG8" s="36"/>
      <c r="TRH8" s="36"/>
      <c r="TRI8" s="36"/>
      <c r="TRJ8" s="36"/>
      <c r="TRK8" s="36"/>
      <c r="TRL8" s="36"/>
      <c r="TRM8" s="36"/>
      <c r="TRN8" s="36"/>
      <c r="TRO8" s="36"/>
      <c r="TRP8" s="36"/>
      <c r="TRQ8" s="36"/>
      <c r="TRR8" s="36"/>
      <c r="TRS8" s="36"/>
      <c r="TRT8" s="36"/>
      <c r="TRU8" s="36"/>
      <c r="TRV8" s="36"/>
      <c r="TRW8" s="36"/>
      <c r="TRX8" s="36"/>
      <c r="TRY8" s="36"/>
      <c r="TRZ8" s="36"/>
      <c r="TSA8" s="36"/>
      <c r="TSB8" s="36"/>
      <c r="TSC8" s="36"/>
      <c r="TSD8" s="36"/>
      <c r="TSE8" s="36"/>
      <c r="TSF8" s="36"/>
      <c r="TSG8" s="36"/>
      <c r="TSH8" s="36"/>
      <c r="TSI8" s="36"/>
      <c r="TSJ8" s="36"/>
      <c r="TSK8" s="36"/>
      <c r="TSL8" s="36"/>
      <c r="TSM8" s="36"/>
      <c r="TSN8" s="36"/>
      <c r="TSO8" s="36"/>
      <c r="TSP8" s="36"/>
      <c r="TSQ8" s="36"/>
      <c r="TSR8" s="36"/>
      <c r="TSS8" s="36"/>
      <c r="TST8" s="36"/>
      <c r="TSU8" s="36"/>
      <c r="TSV8" s="36"/>
      <c r="TSW8" s="36"/>
      <c r="TSX8" s="36"/>
      <c r="TSY8" s="36"/>
      <c r="TSZ8" s="36"/>
      <c r="TTA8" s="36"/>
      <c r="TTB8" s="36"/>
      <c r="TTC8" s="36"/>
      <c r="TTD8" s="36"/>
      <c r="TTE8" s="36"/>
      <c r="TTF8" s="36"/>
      <c r="TTG8" s="36"/>
      <c r="TTH8" s="36"/>
      <c r="TTI8" s="36"/>
      <c r="TTJ8" s="36"/>
      <c r="TTK8" s="36"/>
      <c r="TTL8" s="36"/>
      <c r="TTM8" s="36"/>
      <c r="TTN8" s="36"/>
      <c r="TTO8" s="36"/>
      <c r="TTP8" s="36"/>
      <c r="TTQ8" s="36"/>
      <c r="TTR8" s="36"/>
      <c r="TTS8" s="36"/>
      <c r="TTT8" s="36"/>
      <c r="TTU8" s="36"/>
      <c r="TTV8" s="36"/>
      <c r="TTW8" s="36"/>
      <c r="TTX8" s="36"/>
      <c r="TTY8" s="36"/>
      <c r="TTZ8" s="36"/>
      <c r="TUA8" s="36"/>
      <c r="TUB8" s="36"/>
      <c r="TUC8" s="36"/>
      <c r="TUD8" s="36"/>
      <c r="TUE8" s="36"/>
      <c r="TUF8" s="36"/>
      <c r="TUG8" s="36"/>
      <c r="TUH8" s="36"/>
      <c r="TUI8" s="36"/>
      <c r="TUJ8" s="36"/>
      <c r="TUK8" s="36"/>
      <c r="TUL8" s="36"/>
      <c r="TUM8" s="36"/>
      <c r="TUN8" s="36"/>
      <c r="TUO8" s="36"/>
      <c r="TUP8" s="36"/>
      <c r="TUQ8" s="36"/>
      <c r="TUR8" s="36"/>
      <c r="TUS8" s="36"/>
      <c r="TUT8" s="36"/>
      <c r="TUU8" s="36"/>
      <c r="TUV8" s="36"/>
      <c r="TUW8" s="36"/>
      <c r="TUX8" s="36"/>
      <c r="TUY8" s="36"/>
      <c r="TUZ8" s="36"/>
      <c r="TVA8" s="36"/>
      <c r="TVB8" s="36"/>
      <c r="TVC8" s="36"/>
      <c r="TVD8" s="36"/>
      <c r="TVE8" s="36"/>
      <c r="TVF8" s="36"/>
      <c r="TVG8" s="36"/>
      <c r="TVH8" s="36"/>
      <c r="TVI8" s="36"/>
      <c r="TVJ8" s="36"/>
      <c r="TVK8" s="36"/>
      <c r="TVL8" s="36"/>
      <c r="TVM8" s="36"/>
      <c r="TVN8" s="36"/>
      <c r="TVO8" s="36"/>
      <c r="TVP8" s="36"/>
      <c r="TVQ8" s="36"/>
      <c r="TVR8" s="36"/>
      <c r="TVS8" s="36"/>
      <c r="TVT8" s="36"/>
      <c r="TVU8" s="36"/>
      <c r="TVV8" s="36"/>
      <c r="TVW8" s="36"/>
      <c r="TVX8" s="36"/>
      <c r="TVY8" s="36"/>
      <c r="TVZ8" s="36"/>
      <c r="TWA8" s="36"/>
      <c r="TWB8" s="36"/>
      <c r="TWC8" s="36"/>
      <c r="TWD8" s="36"/>
      <c r="TWE8" s="36"/>
      <c r="TWF8" s="36"/>
      <c r="TWG8" s="36"/>
      <c r="TWH8" s="36"/>
      <c r="TWI8" s="36"/>
      <c r="TWJ8" s="36"/>
      <c r="TWK8" s="36"/>
      <c r="TWL8" s="36"/>
      <c r="TWM8" s="36"/>
      <c r="TWN8" s="36"/>
      <c r="TWO8" s="36"/>
      <c r="TWP8" s="36"/>
      <c r="TWQ8" s="36"/>
      <c r="TWR8" s="36"/>
      <c r="TWS8" s="36"/>
      <c r="TWT8" s="36"/>
      <c r="TWU8" s="36"/>
      <c r="TWV8" s="36"/>
      <c r="TWW8" s="36"/>
      <c r="TWX8" s="36"/>
      <c r="TWY8" s="36"/>
      <c r="TWZ8" s="36"/>
      <c r="TXA8" s="36"/>
      <c r="TXB8" s="36"/>
      <c r="TXC8" s="36"/>
      <c r="TXD8" s="36"/>
      <c r="TXE8" s="36"/>
      <c r="TXF8" s="36"/>
      <c r="TXG8" s="36"/>
      <c r="TXH8" s="36"/>
      <c r="TXI8" s="36"/>
      <c r="TXJ8" s="36"/>
      <c r="TXK8" s="36"/>
      <c r="TXL8" s="36"/>
      <c r="TXM8" s="36"/>
      <c r="TXN8" s="36"/>
      <c r="TXO8" s="36"/>
      <c r="TXP8" s="36"/>
      <c r="TXQ8" s="36"/>
      <c r="TXR8" s="36"/>
      <c r="TXS8" s="36"/>
      <c r="TXT8" s="36"/>
      <c r="TXU8" s="36"/>
      <c r="TXV8" s="36"/>
      <c r="TXW8" s="36"/>
      <c r="TXX8" s="36"/>
      <c r="TXY8" s="36"/>
      <c r="TXZ8" s="36"/>
      <c r="TYA8" s="36"/>
      <c r="TYB8" s="36"/>
      <c r="TYC8" s="36"/>
      <c r="TYD8" s="36"/>
      <c r="TYE8" s="36"/>
      <c r="TYF8" s="36"/>
      <c r="TYG8" s="36"/>
      <c r="TYH8" s="36"/>
      <c r="TYI8" s="36"/>
      <c r="TYJ8" s="36"/>
      <c r="TYK8" s="36"/>
      <c r="TYL8" s="36"/>
      <c r="TYM8" s="36"/>
      <c r="TYN8" s="36"/>
      <c r="TYO8" s="36"/>
      <c r="TYP8" s="36"/>
      <c r="TYQ8" s="36"/>
      <c r="TYR8" s="36"/>
      <c r="TYS8" s="36"/>
      <c r="TYT8" s="36"/>
      <c r="TYU8" s="36"/>
      <c r="TYV8" s="36"/>
      <c r="TYW8" s="36"/>
      <c r="TYX8" s="36"/>
      <c r="TYY8" s="36"/>
      <c r="TYZ8" s="36"/>
      <c r="TZA8" s="36"/>
      <c r="TZB8" s="36"/>
      <c r="TZC8" s="36"/>
      <c r="TZD8" s="36"/>
      <c r="TZE8" s="36"/>
      <c r="TZF8" s="36"/>
      <c r="TZG8" s="36"/>
      <c r="TZH8" s="36"/>
      <c r="TZI8" s="36"/>
      <c r="TZJ8" s="36"/>
      <c r="TZK8" s="36"/>
      <c r="TZL8" s="36"/>
      <c r="TZM8" s="36"/>
      <c r="TZN8" s="36"/>
      <c r="TZO8" s="36"/>
      <c r="TZP8" s="36"/>
      <c r="TZQ8" s="36"/>
      <c r="TZR8" s="36"/>
      <c r="TZS8" s="36"/>
      <c r="TZT8" s="36"/>
      <c r="TZU8" s="36"/>
      <c r="TZV8" s="36"/>
      <c r="TZW8" s="36"/>
      <c r="TZX8" s="36"/>
      <c r="TZY8" s="36"/>
      <c r="TZZ8" s="36"/>
      <c r="UAA8" s="36"/>
      <c r="UAB8" s="36"/>
      <c r="UAC8" s="36"/>
      <c r="UAD8" s="36"/>
      <c r="UAE8" s="36"/>
      <c r="UAF8" s="36"/>
      <c r="UAG8" s="36"/>
      <c r="UAH8" s="36"/>
      <c r="UAI8" s="36"/>
      <c r="UAJ8" s="36"/>
      <c r="UAK8" s="36"/>
      <c r="UAL8" s="36"/>
      <c r="UAM8" s="36"/>
      <c r="UAN8" s="36"/>
      <c r="UAO8" s="36"/>
      <c r="UAP8" s="36"/>
      <c r="UAQ8" s="36"/>
      <c r="UAR8" s="36"/>
      <c r="UAS8" s="36"/>
      <c r="UAT8" s="36"/>
      <c r="UAU8" s="36"/>
      <c r="UAV8" s="36"/>
      <c r="UAW8" s="36"/>
      <c r="UAX8" s="36"/>
      <c r="UAY8" s="36"/>
      <c r="UAZ8" s="36"/>
      <c r="UBA8" s="36"/>
      <c r="UBB8" s="36"/>
      <c r="UBC8" s="36"/>
      <c r="UBD8" s="36"/>
      <c r="UBE8" s="36"/>
      <c r="UBF8" s="36"/>
      <c r="UBG8" s="36"/>
      <c r="UBH8" s="36"/>
      <c r="UBI8" s="36"/>
      <c r="UBJ8" s="36"/>
      <c r="UBK8" s="36"/>
      <c r="UBL8" s="36"/>
      <c r="UBM8" s="36"/>
      <c r="UBN8" s="36"/>
      <c r="UBO8" s="36"/>
      <c r="UBP8" s="36"/>
      <c r="UBQ8" s="36"/>
      <c r="UBR8" s="36"/>
      <c r="UBS8" s="36"/>
      <c r="UBT8" s="36"/>
      <c r="UBU8" s="36"/>
      <c r="UBV8" s="36"/>
      <c r="UBW8" s="36"/>
      <c r="UBX8" s="36"/>
      <c r="UBY8" s="36"/>
      <c r="UBZ8" s="36"/>
      <c r="UCA8" s="36"/>
      <c r="UCB8" s="36"/>
      <c r="UCC8" s="36"/>
      <c r="UCD8" s="36"/>
      <c r="UCE8" s="36"/>
      <c r="UCF8" s="36"/>
      <c r="UCG8" s="36"/>
      <c r="UCH8" s="36"/>
      <c r="UCI8" s="36"/>
      <c r="UCJ8" s="36"/>
      <c r="UCK8" s="36"/>
      <c r="UCL8" s="36"/>
      <c r="UCM8" s="36"/>
      <c r="UCN8" s="36"/>
      <c r="UCO8" s="36"/>
      <c r="UCP8" s="36"/>
      <c r="UCQ8" s="36"/>
      <c r="UCR8" s="36"/>
      <c r="UCS8" s="36"/>
      <c r="UCT8" s="36"/>
      <c r="UCU8" s="36"/>
      <c r="UCV8" s="36"/>
      <c r="UCW8" s="36"/>
      <c r="UCX8" s="36"/>
      <c r="UCY8" s="36"/>
      <c r="UCZ8" s="36"/>
      <c r="UDA8" s="36"/>
      <c r="UDB8" s="36"/>
      <c r="UDC8" s="36"/>
      <c r="UDD8" s="36"/>
      <c r="UDE8" s="36"/>
      <c r="UDF8" s="36"/>
      <c r="UDG8" s="36"/>
      <c r="UDH8" s="36"/>
      <c r="UDI8" s="36"/>
      <c r="UDJ8" s="36"/>
      <c r="UDK8" s="36"/>
      <c r="UDL8" s="36"/>
      <c r="UDM8" s="36"/>
      <c r="UDN8" s="36"/>
      <c r="UDO8" s="36"/>
      <c r="UDP8" s="36"/>
      <c r="UDQ8" s="36"/>
      <c r="UDR8" s="36"/>
      <c r="UDS8" s="36"/>
      <c r="UDT8" s="36"/>
      <c r="UDU8" s="36"/>
      <c r="UDV8" s="36"/>
      <c r="UDW8" s="36"/>
      <c r="UDX8" s="36"/>
      <c r="UDY8" s="36"/>
      <c r="UDZ8" s="36"/>
      <c r="UEA8" s="36"/>
      <c r="UEB8" s="36"/>
      <c r="UEC8" s="36"/>
      <c r="UED8" s="36"/>
      <c r="UEE8" s="36"/>
      <c r="UEF8" s="36"/>
      <c r="UEG8" s="36"/>
      <c r="UEH8" s="36"/>
      <c r="UEI8" s="36"/>
      <c r="UEJ8" s="36"/>
      <c r="UEK8" s="36"/>
      <c r="UEL8" s="36"/>
      <c r="UEM8" s="36"/>
      <c r="UEN8" s="36"/>
      <c r="UEO8" s="36"/>
      <c r="UEP8" s="36"/>
      <c r="UEQ8" s="36"/>
      <c r="UER8" s="36"/>
      <c r="UES8" s="36"/>
      <c r="UET8" s="36"/>
      <c r="UEU8" s="36"/>
      <c r="UEV8" s="36"/>
      <c r="UEW8" s="36"/>
      <c r="UEX8" s="36"/>
      <c r="UEY8" s="36"/>
      <c r="UEZ8" s="36"/>
      <c r="UFA8" s="36"/>
      <c r="UFB8" s="36"/>
      <c r="UFC8" s="36"/>
      <c r="UFD8" s="36"/>
      <c r="UFE8" s="36"/>
      <c r="UFF8" s="36"/>
      <c r="UFG8" s="36"/>
      <c r="UFH8" s="36"/>
      <c r="UFI8" s="36"/>
      <c r="UFJ8" s="36"/>
      <c r="UFK8" s="36"/>
      <c r="UFL8" s="36"/>
      <c r="UFM8" s="36"/>
      <c r="UFN8" s="36"/>
      <c r="UFO8" s="36"/>
      <c r="UFP8" s="36"/>
      <c r="UFQ8" s="36"/>
      <c r="UFR8" s="36"/>
      <c r="UFS8" s="36"/>
      <c r="UFT8" s="36"/>
      <c r="UFU8" s="36"/>
      <c r="UFV8" s="36"/>
      <c r="UFW8" s="36"/>
      <c r="UFX8" s="36"/>
      <c r="UFY8" s="36"/>
      <c r="UFZ8" s="36"/>
      <c r="UGA8" s="36"/>
      <c r="UGB8" s="36"/>
      <c r="UGC8" s="36"/>
      <c r="UGD8" s="36"/>
      <c r="UGE8" s="36"/>
      <c r="UGF8" s="36"/>
      <c r="UGG8" s="36"/>
      <c r="UGH8" s="36"/>
      <c r="UGI8" s="36"/>
      <c r="UGJ8" s="36"/>
      <c r="UGK8" s="36"/>
      <c r="UGL8" s="36"/>
      <c r="UGM8" s="36"/>
      <c r="UGN8" s="36"/>
      <c r="UGO8" s="36"/>
      <c r="UGP8" s="36"/>
      <c r="UGQ8" s="36"/>
      <c r="UGR8" s="36"/>
      <c r="UGS8" s="36"/>
      <c r="UGT8" s="36"/>
      <c r="UGU8" s="36"/>
      <c r="UGV8" s="36"/>
      <c r="UGW8" s="36"/>
      <c r="UGX8" s="36"/>
      <c r="UGY8" s="36"/>
      <c r="UGZ8" s="36"/>
      <c r="UHA8" s="36"/>
      <c r="UHB8" s="36"/>
      <c r="UHC8" s="36"/>
      <c r="UHD8" s="36"/>
      <c r="UHE8" s="36"/>
      <c r="UHF8" s="36"/>
      <c r="UHG8" s="36"/>
      <c r="UHH8" s="36"/>
      <c r="UHI8" s="36"/>
      <c r="UHJ8" s="36"/>
      <c r="UHK8" s="36"/>
      <c r="UHL8" s="36"/>
      <c r="UHM8" s="36"/>
      <c r="UHN8" s="36"/>
      <c r="UHO8" s="36"/>
      <c r="UHP8" s="36"/>
      <c r="UHQ8" s="36"/>
      <c r="UHR8" s="36"/>
      <c r="UHS8" s="36"/>
      <c r="UHT8" s="36"/>
      <c r="UHU8" s="36"/>
      <c r="UHV8" s="36"/>
      <c r="UHW8" s="36"/>
      <c r="UHX8" s="36"/>
      <c r="UHY8" s="36"/>
      <c r="UHZ8" s="36"/>
      <c r="UIA8" s="36"/>
      <c r="UIB8" s="36"/>
      <c r="UIC8" s="36"/>
      <c r="UID8" s="36"/>
      <c r="UIE8" s="36"/>
      <c r="UIF8" s="36"/>
      <c r="UIG8" s="36"/>
      <c r="UIH8" s="36"/>
      <c r="UII8" s="36"/>
      <c r="UIJ8" s="36"/>
      <c r="UIK8" s="36"/>
      <c r="UIL8" s="36"/>
      <c r="UIM8" s="36"/>
      <c r="UIN8" s="36"/>
      <c r="UIO8" s="36"/>
      <c r="UIP8" s="36"/>
      <c r="UIQ8" s="36"/>
      <c r="UIR8" s="36"/>
      <c r="UIS8" s="36"/>
      <c r="UIT8" s="36"/>
      <c r="UIU8" s="36"/>
      <c r="UIV8" s="36"/>
      <c r="UIW8" s="36"/>
      <c r="UIX8" s="36"/>
      <c r="UIY8" s="36"/>
      <c r="UIZ8" s="36"/>
      <c r="UJA8" s="36"/>
      <c r="UJB8" s="36"/>
      <c r="UJC8" s="36"/>
      <c r="UJD8" s="36"/>
      <c r="UJE8" s="36"/>
      <c r="UJF8" s="36"/>
      <c r="UJG8" s="36"/>
      <c r="UJH8" s="36"/>
      <c r="UJI8" s="36"/>
      <c r="UJJ8" s="36"/>
      <c r="UJK8" s="36"/>
      <c r="UJL8" s="36"/>
      <c r="UJM8" s="36"/>
      <c r="UJN8" s="36"/>
      <c r="UJO8" s="36"/>
      <c r="UJP8" s="36"/>
      <c r="UJQ8" s="36"/>
      <c r="UJR8" s="36"/>
      <c r="UJS8" s="36"/>
      <c r="UJT8" s="36"/>
      <c r="UJU8" s="36"/>
      <c r="UJV8" s="36"/>
      <c r="UJW8" s="36"/>
      <c r="UJX8" s="36"/>
      <c r="UJY8" s="36"/>
      <c r="UJZ8" s="36"/>
      <c r="UKA8" s="36"/>
      <c r="UKB8" s="36"/>
      <c r="UKC8" s="36"/>
      <c r="UKD8" s="36"/>
      <c r="UKE8" s="36"/>
      <c r="UKF8" s="36"/>
      <c r="UKG8" s="36"/>
      <c r="UKH8" s="36"/>
      <c r="UKI8" s="36"/>
      <c r="UKJ8" s="36"/>
      <c r="UKK8" s="36"/>
      <c r="UKL8" s="36"/>
      <c r="UKM8" s="36"/>
      <c r="UKN8" s="36"/>
      <c r="UKO8" s="36"/>
      <c r="UKP8" s="36"/>
      <c r="UKQ8" s="36"/>
      <c r="UKR8" s="36"/>
      <c r="UKS8" s="36"/>
      <c r="UKT8" s="36"/>
      <c r="UKU8" s="36"/>
      <c r="UKV8" s="36"/>
      <c r="UKW8" s="36"/>
      <c r="UKX8" s="36"/>
      <c r="UKY8" s="36"/>
      <c r="UKZ8" s="36"/>
      <c r="ULA8" s="36"/>
      <c r="ULB8" s="36"/>
      <c r="ULC8" s="36"/>
      <c r="ULD8" s="36"/>
      <c r="ULE8" s="36"/>
      <c r="ULF8" s="36"/>
      <c r="ULG8" s="36"/>
      <c r="ULH8" s="36"/>
      <c r="ULI8" s="36"/>
      <c r="ULJ8" s="36"/>
      <c r="ULK8" s="36"/>
      <c r="ULL8" s="36"/>
      <c r="ULM8" s="36"/>
      <c r="ULN8" s="36"/>
      <c r="ULO8" s="36"/>
      <c r="ULP8" s="36"/>
      <c r="ULQ8" s="36"/>
      <c r="ULR8" s="36"/>
      <c r="ULS8" s="36"/>
      <c r="ULT8" s="36"/>
      <c r="ULU8" s="36"/>
      <c r="ULV8" s="36"/>
      <c r="ULW8" s="36"/>
      <c r="ULX8" s="36"/>
      <c r="ULY8" s="36"/>
      <c r="ULZ8" s="36"/>
      <c r="UMA8" s="36"/>
      <c r="UMB8" s="36"/>
      <c r="UMC8" s="36"/>
      <c r="UMD8" s="36"/>
      <c r="UME8" s="36"/>
      <c r="UMF8" s="36"/>
      <c r="UMG8" s="36"/>
      <c r="UMH8" s="36"/>
      <c r="UMI8" s="36"/>
      <c r="UMJ8" s="36"/>
      <c r="UMK8" s="36"/>
      <c r="UML8" s="36"/>
      <c r="UMM8" s="36"/>
      <c r="UMN8" s="36"/>
      <c r="UMO8" s="36"/>
      <c r="UMP8" s="36"/>
      <c r="UMQ8" s="36"/>
      <c r="UMR8" s="36"/>
      <c r="UMS8" s="36"/>
      <c r="UMT8" s="36"/>
      <c r="UMU8" s="36"/>
      <c r="UMV8" s="36"/>
      <c r="UMW8" s="36"/>
      <c r="UMX8" s="36"/>
      <c r="UMY8" s="36"/>
      <c r="UMZ8" s="36"/>
      <c r="UNA8" s="36"/>
      <c r="UNB8" s="36"/>
      <c r="UNC8" s="36"/>
      <c r="UND8" s="36"/>
      <c r="UNE8" s="36"/>
      <c r="UNF8" s="36"/>
      <c r="UNG8" s="36"/>
      <c r="UNH8" s="36"/>
      <c r="UNI8" s="36"/>
      <c r="UNJ8" s="36"/>
      <c r="UNK8" s="36"/>
      <c r="UNL8" s="36"/>
      <c r="UNM8" s="36"/>
      <c r="UNN8" s="36"/>
      <c r="UNO8" s="36"/>
      <c r="UNP8" s="36"/>
      <c r="UNQ8" s="36"/>
      <c r="UNR8" s="36"/>
      <c r="UNS8" s="36"/>
      <c r="UNT8" s="36"/>
      <c r="UNU8" s="36"/>
      <c r="UNV8" s="36"/>
      <c r="UNW8" s="36"/>
      <c r="UNX8" s="36"/>
      <c r="UNY8" s="36"/>
      <c r="UNZ8" s="36"/>
      <c r="UOA8" s="36"/>
      <c r="UOB8" s="36"/>
      <c r="UOC8" s="36"/>
      <c r="UOD8" s="36"/>
      <c r="UOE8" s="36"/>
      <c r="UOF8" s="36"/>
      <c r="UOG8" s="36"/>
      <c r="UOH8" s="36"/>
      <c r="UOI8" s="36"/>
      <c r="UOJ8" s="36"/>
      <c r="UOK8" s="36"/>
      <c r="UOL8" s="36"/>
      <c r="UOM8" s="36"/>
      <c r="UON8" s="36"/>
      <c r="UOO8" s="36"/>
      <c r="UOP8" s="36"/>
      <c r="UOQ8" s="36"/>
      <c r="UOR8" s="36"/>
      <c r="UOS8" s="36"/>
      <c r="UOT8" s="36"/>
      <c r="UOU8" s="36"/>
      <c r="UOV8" s="36"/>
      <c r="UOW8" s="36"/>
      <c r="UOX8" s="36"/>
      <c r="UOY8" s="36"/>
      <c r="UOZ8" s="36"/>
      <c r="UPA8" s="36"/>
      <c r="UPB8" s="36"/>
      <c r="UPC8" s="36"/>
      <c r="UPD8" s="36"/>
      <c r="UPE8" s="36"/>
      <c r="UPF8" s="36"/>
      <c r="UPG8" s="36"/>
      <c r="UPH8" s="36"/>
      <c r="UPI8" s="36"/>
      <c r="UPJ8" s="36"/>
      <c r="UPK8" s="36"/>
      <c r="UPL8" s="36"/>
      <c r="UPM8" s="36"/>
      <c r="UPN8" s="36"/>
      <c r="UPO8" s="36"/>
      <c r="UPP8" s="36"/>
      <c r="UPQ8" s="36"/>
      <c r="UPR8" s="36"/>
      <c r="UPS8" s="36"/>
      <c r="UPT8" s="36"/>
      <c r="UPU8" s="36"/>
      <c r="UPV8" s="36"/>
      <c r="UPW8" s="36"/>
      <c r="UPX8" s="36"/>
      <c r="UPY8" s="36"/>
      <c r="UPZ8" s="36"/>
      <c r="UQA8" s="36"/>
      <c r="UQB8" s="36"/>
      <c r="UQC8" s="36"/>
      <c r="UQD8" s="36"/>
      <c r="UQE8" s="36"/>
      <c r="UQF8" s="36"/>
      <c r="UQG8" s="36"/>
      <c r="UQH8" s="36"/>
      <c r="UQI8" s="36"/>
      <c r="UQJ8" s="36"/>
      <c r="UQK8" s="36"/>
      <c r="UQL8" s="36"/>
      <c r="UQM8" s="36"/>
      <c r="UQN8" s="36"/>
      <c r="UQO8" s="36"/>
      <c r="UQP8" s="36"/>
      <c r="UQQ8" s="36"/>
      <c r="UQR8" s="36"/>
      <c r="UQS8" s="36"/>
      <c r="UQT8" s="36"/>
      <c r="UQU8" s="36"/>
      <c r="UQV8" s="36"/>
      <c r="UQW8" s="36"/>
      <c r="UQX8" s="36"/>
      <c r="UQY8" s="36"/>
      <c r="UQZ8" s="36"/>
      <c r="URA8" s="36"/>
      <c r="URB8" s="36"/>
      <c r="URC8" s="36"/>
      <c r="URD8" s="36"/>
      <c r="URE8" s="36"/>
      <c r="URF8" s="36"/>
      <c r="URG8" s="36"/>
      <c r="URH8" s="36"/>
      <c r="URI8" s="36"/>
      <c r="URJ8" s="36"/>
      <c r="URK8" s="36"/>
      <c r="URL8" s="36"/>
      <c r="URM8" s="36"/>
      <c r="URN8" s="36"/>
      <c r="URO8" s="36"/>
      <c r="URP8" s="36"/>
      <c r="URQ8" s="36"/>
      <c r="URR8" s="36"/>
      <c r="URS8" s="36"/>
      <c r="URT8" s="36"/>
      <c r="URU8" s="36"/>
      <c r="URV8" s="36"/>
      <c r="URW8" s="36"/>
      <c r="URX8" s="36"/>
      <c r="URY8" s="36"/>
      <c r="URZ8" s="36"/>
      <c r="USA8" s="36"/>
      <c r="USB8" s="36"/>
      <c r="USC8" s="36"/>
      <c r="USD8" s="36"/>
      <c r="USE8" s="36"/>
      <c r="USF8" s="36"/>
      <c r="USG8" s="36"/>
      <c r="USH8" s="36"/>
      <c r="USI8" s="36"/>
      <c r="USJ8" s="36"/>
      <c r="USK8" s="36"/>
      <c r="USL8" s="36"/>
      <c r="USM8" s="36"/>
      <c r="USN8" s="36"/>
      <c r="USO8" s="36"/>
      <c r="USP8" s="36"/>
      <c r="USQ8" s="36"/>
      <c r="USR8" s="36"/>
      <c r="USS8" s="36"/>
      <c r="UST8" s="36"/>
      <c r="USU8" s="36"/>
      <c r="USV8" s="36"/>
      <c r="USW8" s="36"/>
      <c r="USX8" s="36"/>
      <c r="USY8" s="36"/>
      <c r="USZ8" s="36"/>
      <c r="UTA8" s="36"/>
      <c r="UTB8" s="36"/>
      <c r="UTC8" s="36"/>
      <c r="UTD8" s="36"/>
      <c r="UTE8" s="36"/>
      <c r="UTF8" s="36"/>
      <c r="UTG8" s="36"/>
      <c r="UTH8" s="36"/>
      <c r="UTI8" s="36"/>
      <c r="UTJ8" s="36"/>
      <c r="UTK8" s="36"/>
      <c r="UTL8" s="36"/>
      <c r="UTM8" s="36"/>
      <c r="UTN8" s="36"/>
      <c r="UTO8" s="36"/>
      <c r="UTP8" s="36"/>
      <c r="UTQ8" s="36"/>
      <c r="UTR8" s="36"/>
      <c r="UTS8" s="36"/>
      <c r="UTT8" s="36"/>
      <c r="UTU8" s="36"/>
      <c r="UTV8" s="36"/>
      <c r="UTW8" s="36"/>
      <c r="UTX8" s="36"/>
      <c r="UTY8" s="36"/>
      <c r="UTZ8" s="36"/>
      <c r="UUA8" s="36"/>
      <c r="UUB8" s="36"/>
      <c r="UUC8" s="36"/>
      <c r="UUD8" s="36"/>
      <c r="UUE8" s="36"/>
      <c r="UUF8" s="36"/>
      <c r="UUG8" s="36"/>
      <c r="UUH8" s="36"/>
      <c r="UUI8" s="36"/>
      <c r="UUJ8" s="36"/>
      <c r="UUK8" s="36"/>
      <c r="UUL8" s="36"/>
      <c r="UUM8" s="36"/>
      <c r="UUN8" s="36"/>
      <c r="UUO8" s="36"/>
      <c r="UUP8" s="36"/>
      <c r="UUQ8" s="36"/>
      <c r="UUR8" s="36"/>
      <c r="UUS8" s="36"/>
      <c r="UUT8" s="36"/>
      <c r="UUU8" s="36"/>
      <c r="UUV8" s="36"/>
      <c r="UUW8" s="36"/>
      <c r="UUX8" s="36"/>
      <c r="UUY8" s="36"/>
      <c r="UUZ8" s="36"/>
      <c r="UVA8" s="36"/>
      <c r="UVB8" s="36"/>
      <c r="UVC8" s="36"/>
      <c r="UVD8" s="36"/>
      <c r="UVE8" s="36"/>
      <c r="UVF8" s="36"/>
      <c r="UVG8" s="36"/>
      <c r="UVH8" s="36"/>
      <c r="UVI8" s="36"/>
      <c r="UVJ8" s="36"/>
      <c r="UVK8" s="36"/>
      <c r="UVL8" s="36"/>
      <c r="UVM8" s="36"/>
      <c r="UVN8" s="36"/>
      <c r="UVO8" s="36"/>
      <c r="UVP8" s="36"/>
      <c r="UVQ8" s="36"/>
      <c r="UVR8" s="36"/>
      <c r="UVS8" s="36"/>
      <c r="UVT8" s="36"/>
      <c r="UVU8" s="36"/>
      <c r="UVV8" s="36"/>
      <c r="UVW8" s="36"/>
      <c r="UVX8" s="36"/>
      <c r="UVY8" s="36"/>
      <c r="UVZ8" s="36"/>
      <c r="UWA8" s="36"/>
      <c r="UWB8" s="36"/>
      <c r="UWC8" s="36"/>
      <c r="UWD8" s="36"/>
      <c r="UWE8" s="36"/>
      <c r="UWF8" s="36"/>
      <c r="UWG8" s="36"/>
      <c r="UWH8" s="36"/>
      <c r="UWI8" s="36"/>
      <c r="UWJ8" s="36"/>
      <c r="UWK8" s="36"/>
      <c r="UWL8" s="36"/>
      <c r="UWM8" s="36"/>
      <c r="UWN8" s="36"/>
      <c r="UWO8" s="36"/>
      <c r="UWP8" s="36"/>
      <c r="UWQ8" s="36"/>
      <c r="UWR8" s="36"/>
      <c r="UWS8" s="36"/>
      <c r="UWT8" s="36"/>
      <c r="UWU8" s="36"/>
      <c r="UWV8" s="36"/>
      <c r="UWW8" s="36"/>
      <c r="UWX8" s="36"/>
      <c r="UWY8" s="36"/>
      <c r="UWZ8" s="36"/>
      <c r="UXA8" s="36"/>
      <c r="UXB8" s="36"/>
      <c r="UXC8" s="36"/>
      <c r="UXD8" s="36"/>
      <c r="UXE8" s="36"/>
      <c r="UXF8" s="36"/>
      <c r="UXG8" s="36"/>
      <c r="UXH8" s="36"/>
      <c r="UXI8" s="36"/>
      <c r="UXJ8" s="36"/>
      <c r="UXK8" s="36"/>
      <c r="UXL8" s="36"/>
      <c r="UXM8" s="36"/>
      <c r="UXN8" s="36"/>
      <c r="UXO8" s="36"/>
      <c r="UXP8" s="36"/>
      <c r="UXQ8" s="36"/>
      <c r="UXR8" s="36"/>
      <c r="UXS8" s="36"/>
      <c r="UXT8" s="36"/>
      <c r="UXU8" s="36"/>
      <c r="UXV8" s="36"/>
      <c r="UXW8" s="36"/>
      <c r="UXX8" s="36"/>
      <c r="UXY8" s="36"/>
      <c r="UXZ8" s="36"/>
      <c r="UYA8" s="36"/>
      <c r="UYB8" s="36"/>
      <c r="UYC8" s="36"/>
      <c r="UYD8" s="36"/>
      <c r="UYE8" s="36"/>
      <c r="UYF8" s="36"/>
      <c r="UYG8" s="36"/>
      <c r="UYH8" s="36"/>
      <c r="UYI8" s="36"/>
      <c r="UYJ8" s="36"/>
      <c r="UYK8" s="36"/>
      <c r="UYL8" s="36"/>
      <c r="UYM8" s="36"/>
      <c r="UYN8" s="36"/>
      <c r="UYO8" s="36"/>
      <c r="UYP8" s="36"/>
      <c r="UYQ8" s="36"/>
      <c r="UYR8" s="36"/>
      <c r="UYS8" s="36"/>
      <c r="UYT8" s="36"/>
      <c r="UYU8" s="36"/>
      <c r="UYV8" s="36"/>
      <c r="UYW8" s="36"/>
      <c r="UYX8" s="36"/>
      <c r="UYY8" s="36"/>
      <c r="UYZ8" s="36"/>
      <c r="UZA8" s="36"/>
      <c r="UZB8" s="36"/>
      <c r="UZC8" s="36"/>
      <c r="UZD8" s="36"/>
      <c r="UZE8" s="36"/>
      <c r="UZF8" s="36"/>
      <c r="UZG8" s="36"/>
      <c r="UZH8" s="36"/>
      <c r="UZI8" s="36"/>
      <c r="UZJ8" s="36"/>
      <c r="UZK8" s="36"/>
      <c r="UZL8" s="36"/>
      <c r="UZM8" s="36"/>
      <c r="UZN8" s="36"/>
      <c r="UZO8" s="36"/>
      <c r="UZP8" s="36"/>
      <c r="UZQ8" s="36"/>
      <c r="UZR8" s="36"/>
      <c r="UZS8" s="36"/>
      <c r="UZT8" s="36"/>
      <c r="UZU8" s="36"/>
      <c r="UZV8" s="36"/>
      <c r="UZW8" s="36"/>
      <c r="UZX8" s="36"/>
      <c r="UZY8" s="36"/>
      <c r="UZZ8" s="36"/>
      <c r="VAA8" s="36"/>
      <c r="VAB8" s="36"/>
      <c r="VAC8" s="36"/>
      <c r="VAD8" s="36"/>
      <c r="VAE8" s="36"/>
      <c r="VAF8" s="36"/>
      <c r="VAG8" s="36"/>
      <c r="VAH8" s="36"/>
      <c r="VAI8" s="36"/>
      <c r="VAJ8" s="36"/>
      <c r="VAK8" s="36"/>
      <c r="VAL8" s="36"/>
      <c r="VAM8" s="36"/>
      <c r="VAN8" s="36"/>
      <c r="VAO8" s="36"/>
      <c r="VAP8" s="36"/>
      <c r="VAQ8" s="36"/>
      <c r="VAR8" s="36"/>
      <c r="VAS8" s="36"/>
      <c r="VAT8" s="36"/>
      <c r="VAU8" s="36"/>
      <c r="VAV8" s="36"/>
      <c r="VAW8" s="36"/>
      <c r="VAX8" s="36"/>
      <c r="VAY8" s="36"/>
      <c r="VAZ8" s="36"/>
      <c r="VBA8" s="36"/>
      <c r="VBB8" s="36"/>
      <c r="VBC8" s="36"/>
      <c r="VBD8" s="36"/>
      <c r="VBE8" s="36"/>
      <c r="VBF8" s="36"/>
      <c r="VBG8" s="36"/>
      <c r="VBH8" s="36"/>
      <c r="VBI8" s="36"/>
      <c r="VBJ8" s="36"/>
      <c r="VBK8" s="36"/>
      <c r="VBL8" s="36"/>
      <c r="VBM8" s="36"/>
      <c r="VBN8" s="36"/>
      <c r="VBO8" s="36"/>
      <c r="VBP8" s="36"/>
      <c r="VBQ8" s="36"/>
      <c r="VBR8" s="36"/>
      <c r="VBS8" s="36"/>
      <c r="VBT8" s="36"/>
      <c r="VBU8" s="36"/>
      <c r="VBV8" s="36"/>
      <c r="VBW8" s="36"/>
      <c r="VBX8" s="36"/>
      <c r="VBY8" s="36"/>
      <c r="VBZ8" s="36"/>
      <c r="VCA8" s="36"/>
      <c r="VCB8" s="36"/>
      <c r="VCC8" s="36"/>
      <c r="VCD8" s="36"/>
      <c r="VCE8" s="36"/>
      <c r="VCF8" s="36"/>
      <c r="VCG8" s="36"/>
      <c r="VCH8" s="36"/>
      <c r="VCI8" s="36"/>
      <c r="VCJ8" s="36"/>
      <c r="VCK8" s="36"/>
      <c r="VCL8" s="36"/>
      <c r="VCM8" s="36"/>
      <c r="VCN8" s="36"/>
      <c r="VCO8" s="36"/>
      <c r="VCP8" s="36"/>
      <c r="VCQ8" s="36"/>
      <c r="VCR8" s="36"/>
      <c r="VCS8" s="36"/>
      <c r="VCT8" s="36"/>
      <c r="VCU8" s="36"/>
      <c r="VCV8" s="36"/>
      <c r="VCW8" s="36"/>
      <c r="VCX8" s="36"/>
      <c r="VCY8" s="36"/>
      <c r="VCZ8" s="36"/>
      <c r="VDA8" s="36"/>
      <c r="VDB8" s="36"/>
      <c r="VDC8" s="36"/>
      <c r="VDD8" s="36"/>
      <c r="VDE8" s="36"/>
      <c r="VDF8" s="36"/>
      <c r="VDG8" s="36"/>
      <c r="VDH8" s="36"/>
      <c r="VDI8" s="36"/>
      <c r="VDJ8" s="36"/>
      <c r="VDK8" s="36"/>
      <c r="VDL8" s="36"/>
      <c r="VDM8" s="36"/>
      <c r="VDN8" s="36"/>
      <c r="VDO8" s="36"/>
      <c r="VDP8" s="36"/>
      <c r="VDQ8" s="36"/>
      <c r="VDR8" s="36"/>
      <c r="VDS8" s="36"/>
      <c r="VDT8" s="36"/>
      <c r="VDU8" s="36"/>
      <c r="VDV8" s="36"/>
      <c r="VDW8" s="36"/>
      <c r="VDX8" s="36"/>
      <c r="VDY8" s="36"/>
      <c r="VDZ8" s="36"/>
      <c r="VEA8" s="36"/>
      <c r="VEB8" s="36"/>
      <c r="VEC8" s="36"/>
      <c r="VED8" s="36"/>
      <c r="VEE8" s="36"/>
      <c r="VEF8" s="36"/>
      <c r="VEG8" s="36"/>
      <c r="VEH8" s="36"/>
      <c r="VEI8" s="36"/>
      <c r="VEJ8" s="36"/>
      <c r="VEK8" s="36"/>
      <c r="VEL8" s="36"/>
      <c r="VEM8" s="36"/>
      <c r="VEN8" s="36"/>
      <c r="VEO8" s="36"/>
      <c r="VEP8" s="36"/>
      <c r="VEQ8" s="36"/>
      <c r="VER8" s="36"/>
      <c r="VES8" s="36"/>
      <c r="VET8" s="36"/>
      <c r="VEU8" s="36"/>
      <c r="VEV8" s="36"/>
      <c r="VEW8" s="36"/>
      <c r="VEX8" s="36"/>
      <c r="VEY8" s="36"/>
      <c r="VEZ8" s="36"/>
      <c r="VFA8" s="36"/>
      <c r="VFB8" s="36"/>
      <c r="VFC8" s="36"/>
      <c r="VFD8" s="36"/>
      <c r="VFE8" s="36"/>
      <c r="VFF8" s="36"/>
      <c r="VFG8" s="36"/>
      <c r="VFH8" s="36"/>
      <c r="VFI8" s="36"/>
      <c r="VFJ8" s="36"/>
      <c r="VFK8" s="36"/>
      <c r="VFL8" s="36"/>
      <c r="VFM8" s="36"/>
      <c r="VFN8" s="36"/>
      <c r="VFO8" s="36"/>
      <c r="VFP8" s="36"/>
      <c r="VFQ8" s="36"/>
      <c r="VFR8" s="36"/>
      <c r="VFS8" s="36"/>
      <c r="VFT8" s="36"/>
      <c r="VFU8" s="36"/>
      <c r="VFV8" s="36"/>
      <c r="VFW8" s="36"/>
      <c r="VFX8" s="36"/>
      <c r="VFY8" s="36"/>
      <c r="VFZ8" s="36"/>
      <c r="VGA8" s="36"/>
      <c r="VGB8" s="36"/>
      <c r="VGC8" s="36"/>
      <c r="VGD8" s="36"/>
      <c r="VGE8" s="36"/>
      <c r="VGF8" s="36"/>
      <c r="VGG8" s="36"/>
      <c r="VGH8" s="36"/>
      <c r="VGI8" s="36"/>
      <c r="VGJ8" s="36"/>
      <c r="VGK8" s="36"/>
      <c r="VGL8" s="36"/>
      <c r="VGM8" s="36"/>
      <c r="VGN8" s="36"/>
      <c r="VGO8" s="36"/>
      <c r="VGP8" s="36"/>
      <c r="VGQ8" s="36"/>
      <c r="VGR8" s="36"/>
      <c r="VGS8" s="36"/>
      <c r="VGT8" s="36"/>
      <c r="VGU8" s="36"/>
      <c r="VGV8" s="36"/>
      <c r="VGW8" s="36"/>
      <c r="VGX8" s="36"/>
      <c r="VGY8" s="36"/>
      <c r="VGZ8" s="36"/>
      <c r="VHA8" s="36"/>
      <c r="VHB8" s="36"/>
      <c r="VHC8" s="36"/>
      <c r="VHD8" s="36"/>
      <c r="VHE8" s="36"/>
      <c r="VHF8" s="36"/>
      <c r="VHG8" s="36"/>
      <c r="VHH8" s="36"/>
      <c r="VHI8" s="36"/>
      <c r="VHJ8" s="36"/>
      <c r="VHK8" s="36"/>
      <c r="VHL8" s="36"/>
      <c r="VHM8" s="36"/>
      <c r="VHN8" s="36"/>
      <c r="VHO8" s="36"/>
      <c r="VHP8" s="36"/>
      <c r="VHQ8" s="36"/>
      <c r="VHR8" s="36"/>
      <c r="VHS8" s="36"/>
      <c r="VHT8" s="36"/>
      <c r="VHU8" s="36"/>
      <c r="VHV8" s="36"/>
      <c r="VHW8" s="36"/>
      <c r="VHX8" s="36"/>
      <c r="VHY8" s="36"/>
      <c r="VHZ8" s="36"/>
      <c r="VIA8" s="36"/>
      <c r="VIB8" s="36"/>
      <c r="VIC8" s="36"/>
      <c r="VID8" s="36"/>
      <c r="VIE8" s="36"/>
      <c r="VIF8" s="36"/>
      <c r="VIG8" s="36"/>
      <c r="VIH8" s="36"/>
      <c r="VII8" s="36"/>
      <c r="VIJ8" s="36"/>
      <c r="VIK8" s="36"/>
      <c r="VIL8" s="36"/>
      <c r="VIM8" s="36"/>
      <c r="VIN8" s="36"/>
      <c r="VIO8" s="36"/>
      <c r="VIP8" s="36"/>
      <c r="VIQ8" s="36"/>
      <c r="VIR8" s="36"/>
      <c r="VIS8" s="36"/>
      <c r="VIT8" s="36"/>
      <c r="VIU8" s="36"/>
      <c r="VIV8" s="36"/>
      <c r="VIW8" s="36"/>
      <c r="VIX8" s="36"/>
      <c r="VIY8" s="36"/>
      <c r="VIZ8" s="36"/>
      <c r="VJA8" s="36"/>
      <c r="VJB8" s="36"/>
      <c r="VJC8" s="36"/>
      <c r="VJD8" s="36"/>
      <c r="VJE8" s="36"/>
      <c r="VJF8" s="36"/>
      <c r="VJG8" s="36"/>
      <c r="VJH8" s="36"/>
      <c r="VJI8" s="36"/>
      <c r="VJJ8" s="36"/>
      <c r="VJK8" s="36"/>
      <c r="VJL8" s="36"/>
      <c r="VJM8" s="36"/>
      <c r="VJN8" s="36"/>
      <c r="VJO8" s="36"/>
      <c r="VJP8" s="36"/>
      <c r="VJQ8" s="36"/>
      <c r="VJR8" s="36"/>
      <c r="VJS8" s="36"/>
      <c r="VJT8" s="36"/>
      <c r="VJU8" s="36"/>
      <c r="VJV8" s="36"/>
      <c r="VJW8" s="36"/>
      <c r="VJX8" s="36"/>
      <c r="VJY8" s="36"/>
      <c r="VJZ8" s="36"/>
      <c r="VKA8" s="36"/>
      <c r="VKB8" s="36"/>
      <c r="VKC8" s="36"/>
      <c r="VKD8" s="36"/>
      <c r="VKE8" s="36"/>
      <c r="VKF8" s="36"/>
      <c r="VKG8" s="36"/>
      <c r="VKH8" s="36"/>
      <c r="VKI8" s="36"/>
      <c r="VKJ8" s="36"/>
      <c r="VKK8" s="36"/>
      <c r="VKL8" s="36"/>
      <c r="VKM8" s="36"/>
      <c r="VKN8" s="36"/>
      <c r="VKO8" s="36"/>
      <c r="VKP8" s="36"/>
      <c r="VKQ8" s="36"/>
      <c r="VKR8" s="36"/>
      <c r="VKS8" s="36"/>
      <c r="VKT8" s="36"/>
      <c r="VKU8" s="36"/>
      <c r="VKV8" s="36"/>
      <c r="VKW8" s="36"/>
      <c r="VKX8" s="36"/>
      <c r="VKY8" s="36"/>
      <c r="VKZ8" s="36"/>
      <c r="VLA8" s="36"/>
      <c r="VLB8" s="36"/>
      <c r="VLC8" s="36"/>
      <c r="VLD8" s="36"/>
      <c r="VLE8" s="36"/>
      <c r="VLF8" s="36"/>
      <c r="VLG8" s="36"/>
      <c r="VLH8" s="36"/>
      <c r="VLI8" s="36"/>
      <c r="VLJ8" s="36"/>
      <c r="VLK8" s="36"/>
      <c r="VLL8" s="36"/>
      <c r="VLM8" s="36"/>
      <c r="VLN8" s="36"/>
      <c r="VLO8" s="36"/>
      <c r="VLP8" s="36"/>
      <c r="VLQ8" s="36"/>
      <c r="VLR8" s="36"/>
      <c r="VLS8" s="36"/>
      <c r="VLT8" s="36"/>
      <c r="VLU8" s="36"/>
      <c r="VLV8" s="36"/>
      <c r="VLW8" s="36"/>
      <c r="VLX8" s="36"/>
      <c r="VLY8" s="36"/>
      <c r="VLZ8" s="36"/>
      <c r="VMA8" s="36"/>
      <c r="VMB8" s="36"/>
      <c r="VMC8" s="36"/>
      <c r="VMD8" s="36"/>
      <c r="VME8" s="36"/>
      <c r="VMF8" s="36"/>
      <c r="VMG8" s="36"/>
      <c r="VMH8" s="36"/>
      <c r="VMI8" s="36"/>
      <c r="VMJ8" s="36"/>
      <c r="VMK8" s="36"/>
      <c r="VML8" s="36"/>
      <c r="VMM8" s="36"/>
      <c r="VMN8" s="36"/>
      <c r="VMO8" s="36"/>
      <c r="VMP8" s="36"/>
      <c r="VMQ8" s="36"/>
      <c r="VMR8" s="36"/>
      <c r="VMS8" s="36"/>
      <c r="VMT8" s="36"/>
      <c r="VMU8" s="36"/>
      <c r="VMV8" s="36"/>
      <c r="VMW8" s="36"/>
      <c r="VMX8" s="36"/>
      <c r="VMY8" s="36"/>
      <c r="VMZ8" s="36"/>
      <c r="VNA8" s="36"/>
      <c r="VNB8" s="36"/>
      <c r="VNC8" s="36"/>
      <c r="VND8" s="36"/>
      <c r="VNE8" s="36"/>
      <c r="VNF8" s="36"/>
      <c r="VNG8" s="36"/>
      <c r="VNH8" s="36"/>
      <c r="VNI8" s="36"/>
      <c r="VNJ8" s="36"/>
      <c r="VNK8" s="36"/>
      <c r="VNL8" s="36"/>
      <c r="VNM8" s="36"/>
      <c r="VNN8" s="36"/>
      <c r="VNO8" s="36"/>
      <c r="VNP8" s="36"/>
      <c r="VNQ8" s="36"/>
      <c r="VNR8" s="36"/>
      <c r="VNS8" s="36"/>
      <c r="VNT8" s="36"/>
      <c r="VNU8" s="36"/>
      <c r="VNV8" s="36"/>
      <c r="VNW8" s="36"/>
      <c r="VNX8" s="36"/>
      <c r="VNY8" s="36"/>
      <c r="VNZ8" s="36"/>
      <c r="VOA8" s="36"/>
      <c r="VOB8" s="36"/>
      <c r="VOC8" s="36"/>
      <c r="VOD8" s="36"/>
      <c r="VOE8" s="36"/>
      <c r="VOF8" s="36"/>
      <c r="VOG8" s="36"/>
      <c r="VOH8" s="36"/>
      <c r="VOI8" s="36"/>
      <c r="VOJ8" s="36"/>
      <c r="VOK8" s="36"/>
      <c r="VOL8" s="36"/>
      <c r="VOM8" s="36"/>
      <c r="VON8" s="36"/>
      <c r="VOO8" s="36"/>
      <c r="VOP8" s="36"/>
      <c r="VOQ8" s="36"/>
      <c r="VOR8" s="36"/>
      <c r="VOS8" s="36"/>
      <c r="VOT8" s="36"/>
      <c r="VOU8" s="36"/>
      <c r="VOV8" s="36"/>
      <c r="VOW8" s="36"/>
      <c r="VOX8" s="36"/>
      <c r="VOY8" s="36"/>
      <c r="VOZ8" s="36"/>
      <c r="VPA8" s="36"/>
      <c r="VPB8" s="36"/>
      <c r="VPC8" s="36"/>
      <c r="VPD8" s="36"/>
      <c r="VPE8" s="36"/>
      <c r="VPF8" s="36"/>
      <c r="VPG8" s="36"/>
      <c r="VPH8" s="36"/>
      <c r="VPI8" s="36"/>
      <c r="VPJ8" s="36"/>
      <c r="VPK8" s="36"/>
      <c r="VPL8" s="36"/>
      <c r="VPM8" s="36"/>
      <c r="VPN8" s="36"/>
      <c r="VPO8" s="36"/>
      <c r="VPP8" s="36"/>
      <c r="VPQ8" s="36"/>
      <c r="VPR8" s="36"/>
      <c r="VPS8" s="36"/>
      <c r="VPT8" s="36"/>
      <c r="VPU8" s="36"/>
      <c r="VPV8" s="36"/>
      <c r="VPW8" s="36"/>
      <c r="VPX8" s="36"/>
      <c r="VPY8" s="36"/>
      <c r="VPZ8" s="36"/>
      <c r="VQA8" s="36"/>
      <c r="VQB8" s="36"/>
      <c r="VQC8" s="36"/>
      <c r="VQD8" s="36"/>
      <c r="VQE8" s="36"/>
      <c r="VQF8" s="36"/>
      <c r="VQG8" s="36"/>
      <c r="VQH8" s="36"/>
      <c r="VQI8" s="36"/>
      <c r="VQJ8" s="36"/>
      <c r="VQK8" s="36"/>
      <c r="VQL8" s="36"/>
      <c r="VQM8" s="36"/>
      <c r="VQN8" s="36"/>
      <c r="VQO8" s="36"/>
      <c r="VQP8" s="36"/>
      <c r="VQQ8" s="36"/>
      <c r="VQR8" s="36"/>
      <c r="VQS8" s="36"/>
      <c r="VQT8" s="36"/>
      <c r="VQU8" s="36"/>
      <c r="VQV8" s="36"/>
      <c r="VQW8" s="36"/>
      <c r="VQX8" s="36"/>
      <c r="VQY8" s="36"/>
      <c r="VQZ8" s="36"/>
      <c r="VRA8" s="36"/>
      <c r="VRB8" s="36"/>
      <c r="VRC8" s="36"/>
      <c r="VRD8" s="36"/>
      <c r="VRE8" s="36"/>
      <c r="VRF8" s="36"/>
      <c r="VRG8" s="36"/>
      <c r="VRH8" s="36"/>
      <c r="VRI8" s="36"/>
      <c r="VRJ8" s="36"/>
      <c r="VRK8" s="36"/>
      <c r="VRL8" s="36"/>
      <c r="VRM8" s="36"/>
      <c r="VRN8" s="36"/>
      <c r="VRO8" s="36"/>
      <c r="VRP8" s="36"/>
      <c r="VRQ8" s="36"/>
      <c r="VRR8" s="36"/>
      <c r="VRS8" s="36"/>
      <c r="VRT8" s="36"/>
      <c r="VRU8" s="36"/>
      <c r="VRV8" s="36"/>
      <c r="VRW8" s="36"/>
      <c r="VRX8" s="36"/>
      <c r="VRY8" s="36"/>
      <c r="VRZ8" s="36"/>
      <c r="VSA8" s="36"/>
      <c r="VSB8" s="36"/>
      <c r="VSC8" s="36"/>
      <c r="VSD8" s="36"/>
      <c r="VSE8" s="36"/>
      <c r="VSF8" s="36"/>
      <c r="VSG8" s="36"/>
      <c r="VSH8" s="36"/>
      <c r="VSI8" s="36"/>
      <c r="VSJ8" s="36"/>
      <c r="VSK8" s="36"/>
      <c r="VSL8" s="36"/>
      <c r="VSM8" s="36"/>
      <c r="VSN8" s="36"/>
      <c r="VSO8" s="36"/>
      <c r="VSP8" s="36"/>
      <c r="VSQ8" s="36"/>
      <c r="VSR8" s="36"/>
      <c r="VSS8" s="36"/>
      <c r="VST8" s="36"/>
      <c r="VSU8" s="36"/>
      <c r="VSV8" s="36"/>
      <c r="VSW8" s="36"/>
      <c r="VSX8" s="36"/>
      <c r="VSY8" s="36"/>
      <c r="VSZ8" s="36"/>
      <c r="VTA8" s="36"/>
      <c r="VTB8" s="36"/>
      <c r="VTC8" s="36"/>
      <c r="VTD8" s="36"/>
      <c r="VTE8" s="36"/>
      <c r="VTF8" s="36"/>
      <c r="VTG8" s="36"/>
      <c r="VTH8" s="36"/>
      <c r="VTI8" s="36"/>
      <c r="VTJ8" s="36"/>
      <c r="VTK8" s="36"/>
      <c r="VTL8" s="36"/>
      <c r="VTM8" s="36"/>
      <c r="VTN8" s="36"/>
      <c r="VTO8" s="36"/>
      <c r="VTP8" s="36"/>
      <c r="VTQ8" s="36"/>
      <c r="VTR8" s="36"/>
      <c r="VTS8" s="36"/>
      <c r="VTT8" s="36"/>
      <c r="VTU8" s="36"/>
      <c r="VTV8" s="36"/>
      <c r="VTW8" s="36"/>
      <c r="VTX8" s="36"/>
      <c r="VTY8" s="36"/>
      <c r="VTZ8" s="36"/>
      <c r="VUA8" s="36"/>
      <c r="VUB8" s="36"/>
      <c r="VUC8" s="36"/>
      <c r="VUD8" s="36"/>
      <c r="VUE8" s="36"/>
      <c r="VUF8" s="36"/>
      <c r="VUG8" s="36"/>
      <c r="VUH8" s="36"/>
      <c r="VUI8" s="36"/>
      <c r="VUJ8" s="36"/>
      <c r="VUK8" s="36"/>
      <c r="VUL8" s="36"/>
      <c r="VUM8" s="36"/>
      <c r="VUN8" s="36"/>
      <c r="VUO8" s="36"/>
      <c r="VUP8" s="36"/>
      <c r="VUQ8" s="36"/>
      <c r="VUR8" s="36"/>
      <c r="VUS8" s="36"/>
      <c r="VUT8" s="36"/>
      <c r="VUU8" s="36"/>
      <c r="VUV8" s="36"/>
      <c r="VUW8" s="36"/>
      <c r="VUX8" s="36"/>
      <c r="VUY8" s="36"/>
      <c r="VUZ8" s="36"/>
      <c r="VVA8" s="36"/>
      <c r="VVB8" s="36"/>
      <c r="VVC8" s="36"/>
      <c r="VVD8" s="36"/>
      <c r="VVE8" s="36"/>
      <c r="VVF8" s="36"/>
      <c r="VVG8" s="36"/>
      <c r="VVH8" s="36"/>
      <c r="VVI8" s="36"/>
      <c r="VVJ8" s="36"/>
      <c r="VVK8" s="36"/>
      <c r="VVL8" s="36"/>
      <c r="VVM8" s="36"/>
      <c r="VVN8" s="36"/>
      <c r="VVO8" s="36"/>
      <c r="VVP8" s="36"/>
      <c r="VVQ8" s="36"/>
      <c r="VVR8" s="36"/>
      <c r="VVS8" s="36"/>
      <c r="VVT8" s="36"/>
      <c r="VVU8" s="36"/>
      <c r="VVV8" s="36"/>
      <c r="VVW8" s="36"/>
      <c r="VVX8" s="36"/>
      <c r="VVY8" s="36"/>
      <c r="VVZ8" s="36"/>
      <c r="VWA8" s="36"/>
      <c r="VWB8" s="36"/>
      <c r="VWC8" s="36"/>
      <c r="VWD8" s="36"/>
      <c r="VWE8" s="36"/>
      <c r="VWF8" s="36"/>
      <c r="VWG8" s="36"/>
      <c r="VWH8" s="36"/>
      <c r="VWI8" s="36"/>
      <c r="VWJ8" s="36"/>
      <c r="VWK8" s="36"/>
      <c r="VWL8" s="36"/>
      <c r="VWM8" s="36"/>
      <c r="VWN8" s="36"/>
      <c r="VWO8" s="36"/>
      <c r="VWP8" s="36"/>
      <c r="VWQ8" s="36"/>
      <c r="VWR8" s="36"/>
      <c r="VWS8" s="36"/>
      <c r="VWT8" s="36"/>
      <c r="VWU8" s="36"/>
      <c r="VWV8" s="36"/>
      <c r="VWW8" s="36"/>
      <c r="VWX8" s="36"/>
      <c r="VWY8" s="36"/>
      <c r="VWZ8" s="36"/>
      <c r="VXA8" s="36"/>
      <c r="VXB8" s="36"/>
      <c r="VXC8" s="36"/>
      <c r="VXD8" s="36"/>
      <c r="VXE8" s="36"/>
      <c r="VXF8" s="36"/>
      <c r="VXG8" s="36"/>
      <c r="VXH8" s="36"/>
      <c r="VXI8" s="36"/>
      <c r="VXJ8" s="36"/>
      <c r="VXK8" s="36"/>
      <c r="VXL8" s="36"/>
      <c r="VXM8" s="36"/>
      <c r="VXN8" s="36"/>
      <c r="VXO8" s="36"/>
      <c r="VXP8" s="36"/>
      <c r="VXQ8" s="36"/>
      <c r="VXR8" s="36"/>
      <c r="VXS8" s="36"/>
      <c r="VXT8" s="36"/>
      <c r="VXU8" s="36"/>
      <c r="VXV8" s="36"/>
      <c r="VXW8" s="36"/>
      <c r="VXX8" s="36"/>
      <c r="VXY8" s="36"/>
      <c r="VXZ8" s="36"/>
      <c r="VYA8" s="36"/>
      <c r="VYB8" s="36"/>
      <c r="VYC8" s="36"/>
      <c r="VYD8" s="36"/>
      <c r="VYE8" s="36"/>
      <c r="VYF8" s="36"/>
      <c r="VYG8" s="36"/>
      <c r="VYH8" s="36"/>
      <c r="VYI8" s="36"/>
      <c r="VYJ8" s="36"/>
      <c r="VYK8" s="36"/>
      <c r="VYL8" s="36"/>
      <c r="VYM8" s="36"/>
      <c r="VYN8" s="36"/>
      <c r="VYO8" s="36"/>
      <c r="VYP8" s="36"/>
      <c r="VYQ8" s="36"/>
      <c r="VYR8" s="36"/>
      <c r="VYS8" s="36"/>
      <c r="VYT8" s="36"/>
      <c r="VYU8" s="36"/>
      <c r="VYV8" s="36"/>
      <c r="VYW8" s="36"/>
      <c r="VYX8" s="36"/>
      <c r="VYY8" s="36"/>
      <c r="VYZ8" s="36"/>
      <c r="VZA8" s="36"/>
      <c r="VZB8" s="36"/>
      <c r="VZC8" s="36"/>
      <c r="VZD8" s="36"/>
      <c r="VZE8" s="36"/>
      <c r="VZF8" s="36"/>
      <c r="VZG8" s="36"/>
      <c r="VZH8" s="36"/>
      <c r="VZI8" s="36"/>
      <c r="VZJ8" s="36"/>
      <c r="VZK8" s="36"/>
      <c r="VZL8" s="36"/>
      <c r="VZM8" s="36"/>
      <c r="VZN8" s="36"/>
      <c r="VZO8" s="36"/>
      <c r="VZP8" s="36"/>
      <c r="VZQ8" s="36"/>
      <c r="VZR8" s="36"/>
      <c r="VZS8" s="36"/>
      <c r="VZT8" s="36"/>
      <c r="VZU8" s="36"/>
      <c r="VZV8" s="36"/>
      <c r="VZW8" s="36"/>
      <c r="VZX8" s="36"/>
      <c r="VZY8" s="36"/>
      <c r="VZZ8" s="36"/>
      <c r="WAA8" s="36"/>
      <c r="WAB8" s="36"/>
      <c r="WAC8" s="36"/>
      <c r="WAD8" s="36"/>
      <c r="WAE8" s="36"/>
      <c r="WAF8" s="36"/>
      <c r="WAG8" s="36"/>
      <c r="WAH8" s="36"/>
      <c r="WAI8" s="36"/>
      <c r="WAJ8" s="36"/>
      <c r="WAK8" s="36"/>
      <c r="WAL8" s="36"/>
      <c r="WAM8" s="36"/>
      <c r="WAN8" s="36"/>
      <c r="WAO8" s="36"/>
      <c r="WAP8" s="36"/>
      <c r="WAQ8" s="36"/>
      <c r="WAR8" s="36"/>
      <c r="WAS8" s="36"/>
      <c r="WAT8" s="36"/>
      <c r="WAU8" s="36"/>
      <c r="WAV8" s="36"/>
      <c r="WAW8" s="36"/>
      <c r="WAX8" s="36"/>
      <c r="WAY8" s="36"/>
      <c r="WAZ8" s="36"/>
      <c r="WBA8" s="36"/>
      <c r="WBB8" s="36"/>
      <c r="WBC8" s="36"/>
      <c r="WBD8" s="36"/>
      <c r="WBE8" s="36"/>
      <c r="WBF8" s="36"/>
      <c r="WBG8" s="36"/>
      <c r="WBH8" s="36"/>
      <c r="WBI8" s="36"/>
      <c r="WBJ8" s="36"/>
      <c r="WBK8" s="36"/>
      <c r="WBL8" s="36"/>
      <c r="WBM8" s="36"/>
      <c r="WBN8" s="36"/>
      <c r="WBO8" s="36"/>
      <c r="WBP8" s="36"/>
      <c r="WBQ8" s="36"/>
      <c r="WBR8" s="36"/>
      <c r="WBS8" s="36"/>
      <c r="WBT8" s="36"/>
      <c r="WBU8" s="36"/>
      <c r="WBV8" s="36"/>
      <c r="WBW8" s="36"/>
      <c r="WBX8" s="36"/>
      <c r="WBY8" s="36"/>
      <c r="WBZ8" s="36"/>
      <c r="WCA8" s="36"/>
      <c r="WCB8" s="36"/>
      <c r="WCC8" s="36"/>
      <c r="WCD8" s="36"/>
      <c r="WCE8" s="36"/>
      <c r="WCF8" s="36"/>
      <c r="WCG8" s="36"/>
      <c r="WCH8" s="36"/>
      <c r="WCI8" s="36"/>
      <c r="WCJ8" s="36"/>
      <c r="WCK8" s="36"/>
      <c r="WCL8" s="36"/>
      <c r="WCM8" s="36"/>
      <c r="WCN8" s="36"/>
      <c r="WCO8" s="36"/>
      <c r="WCP8" s="36"/>
      <c r="WCQ8" s="36"/>
      <c r="WCR8" s="36"/>
      <c r="WCS8" s="36"/>
      <c r="WCT8" s="36"/>
      <c r="WCU8" s="36"/>
      <c r="WCV8" s="36"/>
      <c r="WCW8" s="36"/>
      <c r="WCX8" s="36"/>
      <c r="WCY8" s="36"/>
      <c r="WCZ8" s="36"/>
      <c r="WDA8" s="36"/>
      <c r="WDB8" s="36"/>
      <c r="WDC8" s="36"/>
      <c r="WDD8" s="36"/>
      <c r="WDE8" s="36"/>
      <c r="WDF8" s="36"/>
      <c r="WDG8" s="36"/>
      <c r="WDH8" s="36"/>
      <c r="WDI8" s="36"/>
      <c r="WDJ8" s="36"/>
      <c r="WDK8" s="36"/>
      <c r="WDL8" s="36"/>
      <c r="WDM8" s="36"/>
      <c r="WDN8" s="36"/>
      <c r="WDO8" s="36"/>
      <c r="WDP8" s="36"/>
      <c r="WDQ8" s="36"/>
      <c r="WDR8" s="36"/>
      <c r="WDS8" s="36"/>
      <c r="WDT8" s="36"/>
      <c r="WDU8" s="36"/>
      <c r="WDV8" s="36"/>
      <c r="WDW8" s="36"/>
      <c r="WDX8" s="36"/>
      <c r="WDY8" s="36"/>
      <c r="WDZ8" s="36"/>
      <c r="WEA8" s="36"/>
      <c r="WEB8" s="36"/>
      <c r="WEC8" s="36"/>
      <c r="WED8" s="36"/>
      <c r="WEE8" s="36"/>
      <c r="WEF8" s="36"/>
      <c r="WEG8" s="36"/>
      <c r="WEH8" s="36"/>
      <c r="WEI8" s="36"/>
      <c r="WEJ8" s="36"/>
      <c r="WEK8" s="36"/>
      <c r="WEL8" s="36"/>
      <c r="WEM8" s="36"/>
      <c r="WEN8" s="36"/>
      <c r="WEO8" s="36"/>
      <c r="WEP8" s="36"/>
      <c r="WEQ8" s="36"/>
      <c r="WER8" s="36"/>
      <c r="WES8" s="36"/>
      <c r="WET8" s="36"/>
      <c r="WEU8" s="36"/>
      <c r="WEV8" s="36"/>
      <c r="WEW8" s="36"/>
      <c r="WEX8" s="36"/>
      <c r="WEY8" s="36"/>
      <c r="WEZ8" s="36"/>
      <c r="WFA8" s="36"/>
      <c r="WFB8" s="36"/>
      <c r="WFC8" s="36"/>
      <c r="WFD8" s="36"/>
      <c r="WFE8" s="36"/>
      <c r="WFF8" s="36"/>
      <c r="WFG8" s="36"/>
      <c r="WFH8" s="36"/>
      <c r="WFI8" s="36"/>
      <c r="WFJ8" s="36"/>
      <c r="WFK8" s="36"/>
      <c r="WFL8" s="36"/>
      <c r="WFM8" s="36"/>
      <c r="WFN8" s="36"/>
      <c r="WFO8" s="36"/>
      <c r="WFP8" s="36"/>
      <c r="WFQ8" s="36"/>
      <c r="WFR8" s="36"/>
      <c r="WFS8" s="36"/>
      <c r="WFT8" s="36"/>
      <c r="WFU8" s="36"/>
      <c r="WFV8" s="36"/>
      <c r="WFW8" s="36"/>
      <c r="WFX8" s="36"/>
      <c r="WFY8" s="36"/>
      <c r="WFZ8" s="36"/>
      <c r="WGA8" s="36"/>
      <c r="WGB8" s="36"/>
      <c r="WGC8" s="36"/>
      <c r="WGD8" s="36"/>
      <c r="WGE8" s="36"/>
      <c r="WGF8" s="36"/>
      <c r="WGG8" s="36"/>
      <c r="WGH8" s="36"/>
      <c r="WGI8" s="36"/>
      <c r="WGJ8" s="36"/>
      <c r="WGK8" s="36"/>
      <c r="WGL8" s="36"/>
      <c r="WGM8" s="36"/>
      <c r="WGN8" s="36"/>
      <c r="WGO8" s="36"/>
      <c r="WGP8" s="36"/>
      <c r="WGQ8" s="36"/>
      <c r="WGR8" s="36"/>
      <c r="WGS8" s="36"/>
      <c r="WGT8" s="36"/>
      <c r="WGU8" s="36"/>
      <c r="WGV8" s="36"/>
      <c r="WGW8" s="36"/>
      <c r="WGX8" s="36"/>
      <c r="WGY8" s="36"/>
      <c r="WGZ8" s="36"/>
      <c r="WHA8" s="36"/>
      <c r="WHB8" s="36"/>
      <c r="WHC8" s="36"/>
      <c r="WHD8" s="36"/>
      <c r="WHE8" s="36"/>
      <c r="WHF8" s="36"/>
      <c r="WHG8" s="36"/>
      <c r="WHH8" s="36"/>
      <c r="WHI8" s="36"/>
      <c r="WHJ8" s="36"/>
      <c r="WHK8" s="36"/>
      <c r="WHL8" s="36"/>
      <c r="WHM8" s="36"/>
      <c r="WHN8" s="36"/>
      <c r="WHO8" s="36"/>
      <c r="WHP8" s="36"/>
      <c r="WHQ8" s="36"/>
      <c r="WHR8" s="36"/>
      <c r="WHS8" s="36"/>
      <c r="WHT8" s="36"/>
      <c r="WHU8" s="36"/>
      <c r="WHV8" s="36"/>
      <c r="WHW8" s="36"/>
      <c r="WHX8" s="36"/>
      <c r="WHY8" s="36"/>
      <c r="WHZ8" s="36"/>
      <c r="WIA8" s="36"/>
      <c r="WIB8" s="36"/>
      <c r="WIC8" s="36"/>
      <c r="WID8" s="36"/>
      <c r="WIE8" s="36"/>
      <c r="WIF8" s="36"/>
      <c r="WIG8" s="36"/>
      <c r="WIH8" s="36"/>
      <c r="WII8" s="36"/>
      <c r="WIJ8" s="36"/>
      <c r="WIK8" s="36"/>
      <c r="WIL8" s="36"/>
      <c r="WIM8" s="36"/>
      <c r="WIN8" s="36"/>
      <c r="WIO8" s="36"/>
      <c r="WIP8" s="36"/>
      <c r="WIQ8" s="36"/>
      <c r="WIR8" s="36"/>
      <c r="WIS8" s="36"/>
      <c r="WIT8" s="36"/>
      <c r="WIU8" s="36"/>
      <c r="WIV8" s="36"/>
      <c r="WIW8" s="36"/>
      <c r="WIX8" s="36"/>
      <c r="WIY8" s="36"/>
      <c r="WIZ8" s="36"/>
      <c r="WJA8" s="36"/>
      <c r="WJB8" s="36"/>
      <c r="WJC8" s="36"/>
      <c r="WJD8" s="36"/>
      <c r="WJE8" s="36"/>
      <c r="WJF8" s="36"/>
      <c r="WJG8" s="36"/>
      <c r="WJH8" s="36"/>
      <c r="WJI8" s="36"/>
      <c r="WJJ8" s="36"/>
      <c r="WJK8" s="36"/>
      <c r="WJL8" s="36"/>
      <c r="WJM8" s="36"/>
      <c r="WJN8" s="36"/>
      <c r="WJO8" s="36"/>
      <c r="WJP8" s="36"/>
      <c r="WJQ8" s="36"/>
      <c r="WJR8" s="36"/>
      <c r="WJS8" s="36"/>
      <c r="WJT8" s="36"/>
      <c r="WJU8" s="36"/>
      <c r="WJV8" s="36"/>
      <c r="WJW8" s="36"/>
      <c r="WJX8" s="36"/>
      <c r="WJY8" s="36"/>
      <c r="WJZ8" s="36"/>
      <c r="WKA8" s="36"/>
      <c r="WKB8" s="36"/>
      <c r="WKC8" s="36"/>
      <c r="WKD8" s="36"/>
      <c r="WKE8" s="36"/>
      <c r="WKF8" s="36"/>
      <c r="WKG8" s="36"/>
      <c r="WKH8" s="36"/>
      <c r="WKI8" s="36"/>
      <c r="WKJ8" s="36"/>
      <c r="WKK8" s="36"/>
      <c r="WKL8" s="36"/>
      <c r="WKM8" s="36"/>
      <c r="WKN8" s="36"/>
      <c r="WKO8" s="36"/>
      <c r="WKP8" s="36"/>
      <c r="WKQ8" s="36"/>
      <c r="WKR8" s="36"/>
      <c r="WKS8" s="36"/>
      <c r="WKT8" s="36"/>
      <c r="WKU8" s="36"/>
      <c r="WKV8" s="36"/>
      <c r="WKW8" s="36"/>
      <c r="WKX8" s="36"/>
      <c r="WKY8" s="36"/>
      <c r="WKZ8" s="36"/>
      <c r="WLA8" s="36"/>
      <c r="WLB8" s="36"/>
      <c r="WLC8" s="36"/>
      <c r="WLD8" s="36"/>
      <c r="WLE8" s="36"/>
      <c r="WLF8" s="36"/>
      <c r="WLG8" s="36"/>
      <c r="WLH8" s="36"/>
      <c r="WLI8" s="36"/>
      <c r="WLJ8" s="36"/>
      <c r="WLK8" s="36"/>
      <c r="WLL8" s="36"/>
      <c r="WLM8" s="36"/>
      <c r="WLN8" s="36"/>
      <c r="WLO8" s="36"/>
      <c r="WLP8" s="36"/>
      <c r="WLQ8" s="36"/>
      <c r="WLR8" s="36"/>
      <c r="WLS8" s="36"/>
      <c r="WLT8" s="36"/>
      <c r="WLU8" s="36"/>
      <c r="WLV8" s="36"/>
      <c r="WLW8" s="36"/>
      <c r="WLX8" s="36"/>
      <c r="WLY8" s="36"/>
      <c r="WLZ8" s="36"/>
      <c r="WMA8" s="36"/>
      <c r="WMB8" s="36"/>
      <c r="WMC8" s="36"/>
      <c r="WMD8" s="36"/>
      <c r="WME8" s="36"/>
      <c r="WMF8" s="36"/>
      <c r="WMG8" s="36"/>
      <c r="WMH8" s="36"/>
      <c r="WMI8" s="36"/>
      <c r="WMJ8" s="36"/>
      <c r="WMK8" s="36"/>
      <c r="WML8" s="36"/>
      <c r="WMM8" s="36"/>
      <c r="WMN8" s="36"/>
      <c r="WMO8" s="36"/>
      <c r="WMP8" s="36"/>
      <c r="WMQ8" s="36"/>
      <c r="WMR8" s="36"/>
      <c r="WMS8" s="36"/>
      <c r="WMT8" s="36"/>
      <c r="WMU8" s="36"/>
      <c r="WMV8" s="36"/>
      <c r="WMW8" s="36"/>
      <c r="WMX8" s="36"/>
      <c r="WMY8" s="36"/>
      <c r="WMZ8" s="36"/>
      <c r="WNA8" s="36"/>
      <c r="WNB8" s="36"/>
      <c r="WNC8" s="36"/>
      <c r="WND8" s="36"/>
      <c r="WNE8" s="36"/>
      <c r="WNF8" s="36"/>
      <c r="WNG8" s="36"/>
      <c r="WNH8" s="36"/>
      <c r="WNI8" s="36"/>
      <c r="WNJ8" s="36"/>
      <c r="WNK8" s="36"/>
      <c r="WNL8" s="36"/>
      <c r="WNM8" s="36"/>
      <c r="WNN8" s="36"/>
      <c r="WNO8" s="36"/>
      <c r="WNP8" s="36"/>
      <c r="WNQ8" s="36"/>
      <c r="WNR8" s="36"/>
      <c r="WNS8" s="36"/>
      <c r="WNT8" s="36"/>
      <c r="WNU8" s="36"/>
      <c r="WNV8" s="36"/>
      <c r="WNW8" s="36"/>
      <c r="WNX8" s="36"/>
      <c r="WNY8" s="36"/>
      <c r="WNZ8" s="36"/>
      <c r="WOA8" s="36"/>
      <c r="WOB8" s="36"/>
      <c r="WOC8" s="36"/>
      <c r="WOD8" s="36"/>
      <c r="WOE8" s="36"/>
      <c r="WOF8" s="36"/>
      <c r="WOG8" s="36"/>
      <c r="WOH8" s="36"/>
      <c r="WOI8" s="36"/>
      <c r="WOJ8" s="36"/>
      <c r="WOK8" s="36"/>
      <c r="WOL8" s="36"/>
      <c r="WOM8" s="36"/>
      <c r="WON8" s="36"/>
      <c r="WOO8" s="36"/>
      <c r="WOP8" s="36"/>
      <c r="WOQ8" s="36"/>
      <c r="WOR8" s="36"/>
      <c r="WOS8" s="36"/>
      <c r="WOT8" s="36"/>
      <c r="WOU8" s="36"/>
      <c r="WOV8" s="36"/>
      <c r="WOW8" s="36"/>
      <c r="WOX8" s="36"/>
      <c r="WOY8" s="36"/>
      <c r="WOZ8" s="36"/>
      <c r="WPA8" s="36"/>
      <c r="WPB8" s="36"/>
      <c r="WPC8" s="36"/>
      <c r="WPD8" s="36"/>
      <c r="WPE8" s="36"/>
      <c r="WPF8" s="36"/>
      <c r="WPG8" s="36"/>
      <c r="WPH8" s="36"/>
      <c r="WPI8" s="36"/>
      <c r="WPJ8" s="36"/>
      <c r="WPK8" s="36"/>
      <c r="WPL8" s="36"/>
      <c r="WPM8" s="36"/>
      <c r="WPN8" s="36"/>
      <c r="WPO8" s="36"/>
      <c r="WPP8" s="36"/>
      <c r="WPQ8" s="36"/>
      <c r="WPR8" s="36"/>
      <c r="WPS8" s="36"/>
      <c r="WPT8" s="36"/>
      <c r="WPU8" s="36"/>
      <c r="WPV8" s="36"/>
      <c r="WPW8" s="36"/>
      <c r="WPX8" s="36"/>
      <c r="WPY8" s="36"/>
      <c r="WPZ8" s="36"/>
      <c r="WQA8" s="36"/>
      <c r="WQB8" s="36"/>
      <c r="WQC8" s="36"/>
      <c r="WQD8" s="36"/>
      <c r="WQE8" s="36"/>
      <c r="WQF8" s="36"/>
      <c r="WQG8" s="36"/>
      <c r="WQH8" s="36"/>
      <c r="WQI8" s="36"/>
      <c r="WQJ8" s="36"/>
      <c r="WQK8" s="36"/>
      <c r="WQL8" s="36"/>
      <c r="WQM8" s="36"/>
      <c r="WQN8" s="36"/>
      <c r="WQO8" s="36"/>
      <c r="WQP8" s="36"/>
      <c r="WQQ8" s="36"/>
      <c r="WQR8" s="36"/>
      <c r="WQS8" s="36"/>
      <c r="WQT8" s="36"/>
      <c r="WQU8" s="36"/>
      <c r="WQV8" s="36"/>
      <c r="WQW8" s="36"/>
      <c r="WQX8" s="36"/>
      <c r="WQY8" s="36"/>
      <c r="WQZ8" s="36"/>
      <c r="WRA8" s="36"/>
      <c r="WRB8" s="36"/>
      <c r="WRC8" s="36"/>
      <c r="WRD8" s="36"/>
      <c r="WRE8" s="36"/>
      <c r="WRF8" s="36"/>
      <c r="WRG8" s="36"/>
      <c r="WRH8" s="36"/>
      <c r="WRI8" s="36"/>
      <c r="WRJ8" s="36"/>
      <c r="WRK8" s="36"/>
      <c r="WRL8" s="36"/>
      <c r="WRM8" s="36"/>
      <c r="WRN8" s="36"/>
      <c r="WRO8" s="36"/>
      <c r="WRP8" s="36"/>
      <c r="WRQ8" s="36"/>
      <c r="WRR8" s="36"/>
      <c r="WRS8" s="36"/>
      <c r="WRT8" s="36"/>
      <c r="WRU8" s="36"/>
      <c r="WRV8" s="36"/>
      <c r="WRW8" s="36"/>
      <c r="WRX8" s="36"/>
      <c r="WRY8" s="36"/>
      <c r="WRZ8" s="36"/>
      <c r="WSA8" s="36"/>
      <c r="WSB8" s="36"/>
      <c r="WSC8" s="36"/>
      <c r="WSD8" s="36"/>
      <c r="WSE8" s="36"/>
      <c r="WSF8" s="36"/>
      <c r="WSG8" s="36"/>
      <c r="WSH8" s="36"/>
      <c r="WSI8" s="36"/>
      <c r="WSJ8" s="36"/>
      <c r="WSK8" s="36"/>
      <c r="WSL8" s="36"/>
      <c r="WSM8" s="36"/>
      <c r="WSN8" s="36"/>
      <c r="WSO8" s="36"/>
      <c r="WSP8" s="36"/>
      <c r="WSQ8" s="36"/>
      <c r="WSR8" s="36"/>
      <c r="WSS8" s="36"/>
      <c r="WST8" s="36"/>
      <c r="WSU8" s="36"/>
      <c r="WSV8" s="36"/>
      <c r="WSW8" s="36"/>
      <c r="WSX8" s="36"/>
      <c r="WSY8" s="36"/>
      <c r="WSZ8" s="36"/>
      <c r="WTA8" s="36"/>
      <c r="WTB8" s="36"/>
      <c r="WTC8" s="36"/>
      <c r="WTD8" s="36"/>
      <c r="WTE8" s="36"/>
      <c r="WTF8" s="36"/>
      <c r="WTG8" s="36"/>
      <c r="WTH8" s="36"/>
      <c r="WTI8" s="36"/>
      <c r="WTJ8" s="36"/>
      <c r="WTK8" s="36"/>
      <c r="WTL8" s="36"/>
      <c r="WTM8" s="36"/>
      <c r="WTN8" s="36"/>
      <c r="WTO8" s="36"/>
      <c r="WTP8" s="36"/>
      <c r="WTQ8" s="36"/>
      <c r="WTR8" s="36"/>
      <c r="WTS8" s="36"/>
      <c r="WTT8" s="36"/>
      <c r="WTU8" s="36"/>
      <c r="WTV8" s="36"/>
      <c r="WTW8" s="36"/>
      <c r="WTX8" s="36"/>
      <c r="WTY8" s="36"/>
      <c r="WTZ8" s="36"/>
      <c r="WUA8" s="36"/>
      <c r="WUB8" s="36"/>
      <c r="WUC8" s="36"/>
      <c r="WUD8" s="36"/>
      <c r="WUE8" s="36"/>
      <c r="WUF8" s="36"/>
      <c r="WUG8" s="36"/>
      <c r="WUH8" s="36"/>
      <c r="WUI8" s="36"/>
      <c r="WUJ8" s="36"/>
      <c r="WUK8" s="36"/>
      <c r="WUL8" s="36"/>
      <c r="WUM8" s="36"/>
      <c r="WUN8" s="36"/>
      <c r="WUO8" s="36"/>
      <c r="WUP8" s="36"/>
      <c r="WUQ8" s="36"/>
      <c r="WUR8" s="36"/>
      <c r="WUS8" s="36"/>
      <c r="WUT8" s="36"/>
      <c r="WUU8" s="36"/>
      <c r="WUV8" s="36"/>
      <c r="WUW8" s="36"/>
      <c r="WUX8" s="36"/>
      <c r="WUY8" s="36"/>
      <c r="WUZ8" s="36"/>
      <c r="WVA8" s="36"/>
      <c r="WVB8" s="36"/>
      <c r="WVC8" s="36"/>
      <c r="WVD8" s="36"/>
      <c r="WVE8" s="36"/>
      <c r="WVF8" s="36"/>
      <c r="WVG8" s="36"/>
      <c r="WVH8" s="36"/>
      <c r="WVI8" s="36"/>
      <c r="WVJ8" s="36"/>
      <c r="WVK8" s="36"/>
      <c r="WVL8" s="36"/>
      <c r="WVM8" s="36"/>
      <c r="WVN8" s="36"/>
      <c r="WVO8" s="36"/>
      <c r="WVP8" s="36"/>
      <c r="WVQ8" s="36"/>
      <c r="WVR8" s="36"/>
      <c r="WVS8" s="36"/>
      <c r="WVT8" s="36"/>
      <c r="WVU8" s="36"/>
      <c r="WVV8" s="36"/>
      <c r="WVW8" s="36"/>
      <c r="WVX8" s="36"/>
      <c r="WVY8" s="36"/>
      <c r="WVZ8" s="36"/>
      <c r="WWA8" s="36"/>
      <c r="WWB8" s="36"/>
      <c r="WWC8" s="36"/>
      <c r="WWD8" s="36"/>
      <c r="WWE8" s="36"/>
      <c r="WWF8" s="36"/>
      <c r="WWG8" s="36"/>
      <c r="WWH8" s="36"/>
      <c r="WWI8" s="36"/>
      <c r="WWJ8" s="36"/>
      <c r="WWK8" s="36"/>
      <c r="WWL8" s="36"/>
      <c r="WWM8" s="36"/>
      <c r="WWN8" s="36"/>
      <c r="WWO8" s="36"/>
      <c r="WWP8" s="36"/>
      <c r="WWQ8" s="36"/>
      <c r="WWR8" s="36"/>
      <c r="WWS8" s="36"/>
      <c r="WWT8" s="36"/>
      <c r="WWU8" s="36"/>
      <c r="WWV8" s="36"/>
      <c r="WWW8" s="36"/>
      <c r="WWX8" s="36"/>
      <c r="WWY8" s="36"/>
      <c r="WWZ8" s="36"/>
      <c r="WXA8" s="36"/>
      <c r="WXB8" s="36"/>
      <c r="WXC8" s="36"/>
      <c r="WXD8" s="36"/>
      <c r="WXE8" s="36"/>
      <c r="WXF8" s="36"/>
      <c r="WXG8" s="36"/>
      <c r="WXH8" s="36"/>
      <c r="WXI8" s="36"/>
      <c r="WXJ8" s="36"/>
      <c r="WXK8" s="36"/>
      <c r="WXL8" s="36"/>
      <c r="WXM8" s="36"/>
      <c r="WXN8" s="36"/>
      <c r="WXO8" s="36"/>
      <c r="WXP8" s="36"/>
      <c r="WXQ8" s="36"/>
      <c r="WXR8" s="36"/>
      <c r="WXS8" s="36"/>
      <c r="WXT8" s="36"/>
      <c r="WXU8" s="36"/>
      <c r="WXV8" s="36"/>
      <c r="WXW8" s="36"/>
      <c r="WXX8" s="36"/>
      <c r="WXY8" s="36"/>
      <c r="WXZ8" s="36"/>
      <c r="WYA8" s="36"/>
      <c r="WYB8" s="36"/>
      <c r="WYC8" s="36"/>
      <c r="WYD8" s="36"/>
      <c r="WYE8" s="36"/>
      <c r="WYF8" s="36"/>
      <c r="WYG8" s="36"/>
      <c r="WYH8" s="36"/>
      <c r="WYI8" s="36"/>
      <c r="WYJ8" s="36"/>
      <c r="WYK8" s="36"/>
      <c r="WYL8" s="36"/>
      <c r="WYM8" s="36"/>
      <c r="WYN8" s="36"/>
      <c r="WYO8" s="36"/>
      <c r="WYP8" s="36"/>
      <c r="WYQ8" s="36"/>
      <c r="WYR8" s="36"/>
      <c r="WYS8" s="36"/>
      <c r="WYT8" s="36"/>
      <c r="WYU8" s="36"/>
      <c r="WYV8" s="36"/>
      <c r="WYW8" s="36"/>
      <c r="WYX8" s="36"/>
      <c r="WYY8" s="36"/>
      <c r="WYZ8" s="36"/>
      <c r="WZA8" s="36"/>
      <c r="WZB8" s="36"/>
      <c r="WZC8" s="36"/>
      <c r="WZD8" s="36"/>
      <c r="WZE8" s="36"/>
      <c r="WZF8" s="36"/>
      <c r="WZG8" s="36"/>
      <c r="WZH8" s="36"/>
      <c r="WZI8" s="36"/>
      <c r="WZJ8" s="36"/>
      <c r="WZK8" s="36"/>
      <c r="WZL8" s="36"/>
      <c r="WZM8" s="36"/>
      <c r="WZN8" s="36"/>
      <c r="WZO8" s="36"/>
      <c r="WZP8" s="36"/>
      <c r="WZQ8" s="36"/>
      <c r="WZR8" s="36"/>
      <c r="WZS8" s="36"/>
      <c r="WZT8" s="36"/>
      <c r="WZU8" s="36"/>
      <c r="WZV8" s="36"/>
      <c r="WZW8" s="36"/>
      <c r="WZX8" s="36"/>
      <c r="WZY8" s="36"/>
      <c r="WZZ8" s="36"/>
      <c r="XAA8" s="36"/>
      <c r="XAB8" s="36"/>
      <c r="XAC8" s="36"/>
      <c r="XAD8" s="36"/>
      <c r="XAE8" s="36"/>
      <c r="XAF8" s="36"/>
      <c r="XAG8" s="36"/>
      <c r="XAH8" s="36"/>
      <c r="XAI8" s="36"/>
      <c r="XAJ8" s="36"/>
      <c r="XAK8" s="36"/>
      <c r="XAL8" s="36"/>
      <c r="XAM8" s="36"/>
      <c r="XAN8" s="36"/>
      <c r="XAO8" s="36"/>
      <c r="XAP8" s="36"/>
      <c r="XAQ8" s="36"/>
      <c r="XAR8" s="36"/>
      <c r="XAS8" s="36"/>
      <c r="XAT8" s="36"/>
      <c r="XAU8" s="36"/>
      <c r="XAV8" s="36"/>
      <c r="XAW8" s="36"/>
      <c r="XAX8" s="36"/>
      <c r="XAY8" s="36"/>
      <c r="XAZ8" s="36"/>
      <c r="XBA8" s="36"/>
      <c r="XBB8" s="36"/>
      <c r="XBC8" s="36"/>
      <c r="XBD8" s="36"/>
      <c r="XBE8" s="36"/>
      <c r="XBF8" s="36"/>
      <c r="XBG8" s="36"/>
      <c r="XBH8" s="36"/>
      <c r="XBI8" s="36"/>
      <c r="XBJ8" s="36"/>
      <c r="XBK8" s="36"/>
      <c r="XBL8" s="36"/>
      <c r="XBM8" s="36"/>
      <c r="XBN8" s="36"/>
      <c r="XBO8" s="36"/>
      <c r="XBP8" s="36"/>
      <c r="XBQ8" s="36"/>
      <c r="XBR8" s="36"/>
      <c r="XBS8" s="36"/>
      <c r="XBT8" s="36"/>
      <c r="XBU8" s="36"/>
      <c r="XBV8" s="36"/>
      <c r="XBW8" s="36"/>
      <c r="XBX8" s="36"/>
      <c r="XBY8" s="36"/>
      <c r="XBZ8" s="36"/>
      <c r="XCA8" s="36"/>
      <c r="XCB8" s="36"/>
      <c r="XCC8" s="36"/>
      <c r="XCD8" s="36"/>
      <c r="XCE8" s="36"/>
      <c r="XCF8" s="36"/>
      <c r="XCG8" s="36"/>
      <c r="XCH8" s="36"/>
      <c r="XCI8" s="36"/>
      <c r="XCJ8" s="36"/>
      <c r="XCK8" s="36"/>
      <c r="XCL8" s="36"/>
      <c r="XCM8" s="36"/>
      <c r="XCN8" s="36"/>
      <c r="XCO8" s="36"/>
      <c r="XCP8" s="36"/>
      <c r="XCQ8" s="36"/>
      <c r="XCR8" s="36"/>
      <c r="XCS8" s="36"/>
      <c r="XCT8" s="36"/>
      <c r="XCU8" s="36"/>
      <c r="XCV8" s="36"/>
      <c r="XCW8" s="36"/>
      <c r="XCX8" s="36"/>
      <c r="XCY8" s="36"/>
      <c r="XCZ8" s="36"/>
      <c r="XDA8" s="36"/>
      <c r="XDB8" s="36"/>
      <c r="XDC8" s="36"/>
      <c r="XDD8" s="36"/>
      <c r="XDE8" s="36"/>
      <c r="XDF8" s="36"/>
      <c r="XDG8" s="36"/>
      <c r="XDH8" s="36"/>
      <c r="XDI8" s="36"/>
      <c r="XDJ8" s="36"/>
      <c r="XDK8" s="36"/>
      <c r="XDL8" s="36"/>
      <c r="XDM8" s="36"/>
      <c r="XDN8" s="36"/>
      <c r="XDO8" s="36"/>
      <c r="XDP8" s="36"/>
      <c r="XDQ8" s="36"/>
      <c r="XDR8" s="36"/>
      <c r="XDS8" s="36"/>
      <c r="XDT8" s="36"/>
      <c r="XDU8" s="36"/>
      <c r="XDV8" s="36"/>
      <c r="XDW8" s="36"/>
      <c r="XDX8" s="36"/>
      <c r="XDY8" s="36"/>
      <c r="XDZ8" s="36"/>
      <c r="XEA8" s="36"/>
      <c r="XEB8" s="36"/>
      <c r="XEC8" s="36"/>
      <c r="XED8" s="36"/>
      <c r="XEE8" s="36"/>
      <c r="XEF8" s="36"/>
      <c r="XEG8" s="36"/>
      <c r="XEH8" s="36"/>
      <c r="XEI8" s="36"/>
      <c r="XEJ8" s="36"/>
      <c r="XEK8" s="36"/>
      <c r="XEL8" s="36"/>
      <c r="XEM8" s="36"/>
      <c r="XEN8" s="36"/>
      <c r="XEO8" s="36"/>
      <c r="XEP8" s="36"/>
      <c r="XEQ8" s="36"/>
      <c r="XER8" s="36"/>
      <c r="XES8" s="36"/>
      <c r="XET8" s="36"/>
      <c r="XEU8" s="36"/>
      <c r="XEV8" s="36"/>
      <c r="XEW8" s="36"/>
      <c r="XEX8" s="36"/>
    </row>
    <row r="9" spans="1:16378" x14ac:dyDescent="0.35">
      <c r="A9" s="26" t="s">
        <v>83</v>
      </c>
      <c r="B9" s="26" t="s">
        <v>84</v>
      </c>
      <c r="C9" s="26" t="s">
        <v>138</v>
      </c>
      <c r="D9" s="27" t="s">
        <v>139</v>
      </c>
      <c r="E9" s="27" t="s">
        <v>139</v>
      </c>
      <c r="F9" s="27" t="s">
        <v>139</v>
      </c>
      <c r="G9" s="27"/>
    </row>
    <row r="10" spans="1:16378" x14ac:dyDescent="0.35">
      <c r="A10" s="46" t="s">
        <v>43</v>
      </c>
      <c r="B10" s="45" t="s">
        <v>89</v>
      </c>
      <c r="C10" s="45" t="s">
        <v>20</v>
      </c>
      <c r="D10" s="54" t="s">
        <v>140</v>
      </c>
      <c r="E10" s="54" t="s">
        <v>141</v>
      </c>
      <c r="F10" s="54" t="s">
        <v>142</v>
      </c>
      <c r="G10" s="67" t="s">
        <v>143</v>
      </c>
    </row>
    <row r="11" spans="1:16378" x14ac:dyDescent="0.35">
      <c r="A11" s="43"/>
      <c r="B11" s="20"/>
      <c r="C11" s="28"/>
      <c r="D11" s="127"/>
      <c r="E11" s="30"/>
      <c r="F11" s="30"/>
      <c r="G11" s="66">
        <f>D11+E11</f>
        <v>0</v>
      </c>
    </row>
    <row r="12" spans="1:16378" x14ac:dyDescent="0.35">
      <c r="A12" s="43"/>
      <c r="B12" s="20"/>
      <c r="C12" s="28"/>
      <c r="D12" s="127"/>
      <c r="E12" s="30"/>
      <c r="F12" s="30"/>
      <c r="G12" s="66">
        <f t="shared" ref="G12:G28" si="0">D12+E12</f>
        <v>0</v>
      </c>
    </row>
    <row r="13" spans="1:16378" x14ac:dyDescent="0.35">
      <c r="A13" s="43"/>
      <c r="B13" s="20"/>
      <c r="C13" s="28"/>
      <c r="D13" s="127"/>
      <c r="E13" s="30"/>
      <c r="F13" s="30"/>
      <c r="G13" s="66">
        <f t="shared" si="0"/>
        <v>0</v>
      </c>
    </row>
    <row r="14" spans="1:16378" x14ac:dyDescent="0.35">
      <c r="A14" s="43"/>
      <c r="B14" s="20"/>
      <c r="C14" s="28"/>
      <c r="D14" s="127"/>
      <c r="E14" s="30"/>
      <c r="F14" s="30"/>
      <c r="G14" s="66">
        <f t="shared" si="0"/>
        <v>0</v>
      </c>
    </row>
    <row r="15" spans="1:16378" x14ac:dyDescent="0.35">
      <c r="A15" s="43"/>
      <c r="B15" s="20"/>
      <c r="C15" s="28"/>
      <c r="D15" s="30"/>
      <c r="E15" s="30"/>
      <c r="F15" s="30"/>
      <c r="G15" s="66">
        <f t="shared" si="0"/>
        <v>0</v>
      </c>
    </row>
    <row r="16" spans="1:16378" x14ac:dyDescent="0.35">
      <c r="A16" s="43"/>
      <c r="B16" s="20"/>
      <c r="C16" s="28"/>
      <c r="D16" s="30"/>
      <c r="E16" s="30"/>
      <c r="F16" s="30"/>
      <c r="G16" s="66">
        <f t="shared" si="0"/>
        <v>0</v>
      </c>
    </row>
    <row r="17" spans="1:7" x14ac:dyDescent="0.35">
      <c r="A17" s="43"/>
      <c r="B17" s="20"/>
      <c r="C17" s="28"/>
      <c r="D17" s="30"/>
      <c r="E17" s="30"/>
      <c r="F17" s="30"/>
      <c r="G17" s="66">
        <f t="shared" si="0"/>
        <v>0</v>
      </c>
    </row>
    <row r="18" spans="1:7" x14ac:dyDescent="0.35">
      <c r="A18" s="43"/>
      <c r="B18" s="20"/>
      <c r="C18" s="28"/>
      <c r="D18" s="30"/>
      <c r="E18" s="30"/>
      <c r="F18" s="30"/>
      <c r="G18" s="66">
        <f t="shared" si="0"/>
        <v>0</v>
      </c>
    </row>
    <row r="19" spans="1:7" x14ac:dyDescent="0.35">
      <c r="A19" s="43"/>
      <c r="B19" s="20"/>
      <c r="C19" s="28"/>
      <c r="D19" s="30"/>
      <c r="E19" s="30"/>
      <c r="F19" s="30"/>
      <c r="G19" s="66">
        <f t="shared" si="0"/>
        <v>0</v>
      </c>
    </row>
    <row r="20" spans="1:7" x14ac:dyDescent="0.35">
      <c r="A20" s="43"/>
      <c r="B20" s="20"/>
      <c r="C20" s="28"/>
      <c r="D20" s="30"/>
      <c r="E20" s="30"/>
      <c r="F20" s="30"/>
      <c r="G20" s="66">
        <f t="shared" si="0"/>
        <v>0</v>
      </c>
    </row>
    <row r="21" spans="1:7" x14ac:dyDescent="0.35">
      <c r="A21" s="43"/>
      <c r="B21" s="20"/>
      <c r="C21" s="28"/>
      <c r="D21" s="30"/>
      <c r="E21" s="30"/>
      <c r="F21" s="30"/>
      <c r="G21" s="66">
        <f t="shared" si="0"/>
        <v>0</v>
      </c>
    </row>
    <row r="22" spans="1:7" x14ac:dyDescent="0.35">
      <c r="A22" s="43"/>
      <c r="B22" s="20"/>
      <c r="C22" s="28"/>
      <c r="D22" s="30"/>
      <c r="E22" s="30"/>
      <c r="F22" s="30"/>
      <c r="G22" s="66">
        <f t="shared" si="0"/>
        <v>0</v>
      </c>
    </row>
    <row r="23" spans="1:7" x14ac:dyDescent="0.35">
      <c r="A23" s="43"/>
      <c r="B23" s="20"/>
      <c r="C23" s="28"/>
      <c r="D23" s="30"/>
      <c r="E23" s="30"/>
      <c r="F23" s="30"/>
      <c r="G23" s="66">
        <f t="shared" si="0"/>
        <v>0</v>
      </c>
    </row>
    <row r="24" spans="1:7" x14ac:dyDescent="0.35">
      <c r="A24" s="43"/>
      <c r="B24" s="20"/>
      <c r="C24" s="28"/>
      <c r="D24" s="30"/>
      <c r="E24" s="30"/>
      <c r="F24" s="30"/>
      <c r="G24" s="66">
        <f t="shared" si="0"/>
        <v>0</v>
      </c>
    </row>
    <row r="25" spans="1:7" x14ac:dyDescent="0.35">
      <c r="A25" s="43"/>
      <c r="B25" s="20"/>
      <c r="C25" s="28"/>
      <c r="D25" s="30"/>
      <c r="E25" s="30"/>
      <c r="F25" s="30"/>
      <c r="G25" s="66">
        <f t="shared" si="0"/>
        <v>0</v>
      </c>
    </row>
    <row r="26" spans="1:7" x14ac:dyDescent="0.35">
      <c r="A26" s="43"/>
      <c r="B26" s="20"/>
      <c r="C26" s="28"/>
      <c r="D26" s="30"/>
      <c r="E26" s="30"/>
      <c r="F26" s="30"/>
      <c r="G26" s="66">
        <f t="shared" si="0"/>
        <v>0</v>
      </c>
    </row>
    <row r="27" spans="1:7" x14ac:dyDescent="0.35">
      <c r="A27" s="43"/>
      <c r="B27" s="20"/>
      <c r="C27" s="28"/>
      <c r="D27" s="30"/>
      <c r="E27" s="30"/>
      <c r="F27" s="30"/>
      <c r="G27" s="66">
        <f t="shared" si="0"/>
        <v>0</v>
      </c>
    </row>
    <row r="28" spans="1:7" x14ac:dyDescent="0.35">
      <c r="A28" s="43"/>
      <c r="B28" s="58"/>
      <c r="C28" s="28"/>
      <c r="D28" s="61"/>
      <c r="E28" s="61"/>
      <c r="F28" s="61"/>
      <c r="G28" s="68">
        <f t="shared" si="0"/>
        <v>0</v>
      </c>
    </row>
  </sheetData>
  <mergeCells count="910">
    <mergeCell ref="DO1:EF1"/>
    <mergeCell ref="EG1:EX1"/>
    <mergeCell ref="EY1:FP1"/>
    <mergeCell ref="FQ1:GH1"/>
    <mergeCell ref="GI1:GZ1"/>
    <mergeCell ref="HA1:HR1"/>
    <mergeCell ref="K1:AB1"/>
    <mergeCell ref="AC1:AT1"/>
    <mergeCell ref="AU1:BL1"/>
    <mergeCell ref="BM1:CD1"/>
    <mergeCell ref="CE1:CV1"/>
    <mergeCell ref="CW1:DN1"/>
    <mergeCell ref="LW1:MN1"/>
    <mergeCell ref="MO1:NF1"/>
    <mergeCell ref="NG1:NX1"/>
    <mergeCell ref="NY1:OP1"/>
    <mergeCell ref="OQ1:PH1"/>
    <mergeCell ref="PI1:PZ1"/>
    <mergeCell ref="HS1:IJ1"/>
    <mergeCell ref="IK1:JB1"/>
    <mergeCell ref="JC1:JT1"/>
    <mergeCell ref="JU1:KL1"/>
    <mergeCell ref="KM1:LD1"/>
    <mergeCell ref="LE1:LV1"/>
    <mergeCell ref="UE1:UV1"/>
    <mergeCell ref="UW1:VN1"/>
    <mergeCell ref="VO1:WF1"/>
    <mergeCell ref="WG1:WX1"/>
    <mergeCell ref="WY1:XP1"/>
    <mergeCell ref="XQ1:YH1"/>
    <mergeCell ref="QA1:QR1"/>
    <mergeCell ref="QS1:RJ1"/>
    <mergeCell ref="RK1:SB1"/>
    <mergeCell ref="SC1:ST1"/>
    <mergeCell ref="SU1:TL1"/>
    <mergeCell ref="TM1:UD1"/>
    <mergeCell ref="ACM1:ADD1"/>
    <mergeCell ref="ADE1:ADV1"/>
    <mergeCell ref="ADW1:AEN1"/>
    <mergeCell ref="AEO1:AFF1"/>
    <mergeCell ref="AFG1:AFX1"/>
    <mergeCell ref="AFY1:AGP1"/>
    <mergeCell ref="YI1:YZ1"/>
    <mergeCell ref="ZA1:ZR1"/>
    <mergeCell ref="ZS1:AAJ1"/>
    <mergeCell ref="AAK1:ABB1"/>
    <mergeCell ref="ABC1:ABT1"/>
    <mergeCell ref="ABU1:ACL1"/>
    <mergeCell ref="AKU1:ALL1"/>
    <mergeCell ref="ALM1:AMD1"/>
    <mergeCell ref="AME1:AMV1"/>
    <mergeCell ref="AMW1:ANN1"/>
    <mergeCell ref="ANO1:AOF1"/>
    <mergeCell ref="AOG1:AOX1"/>
    <mergeCell ref="AGQ1:AHH1"/>
    <mergeCell ref="AHI1:AHZ1"/>
    <mergeCell ref="AIA1:AIR1"/>
    <mergeCell ref="AIS1:AJJ1"/>
    <mergeCell ref="AJK1:AKB1"/>
    <mergeCell ref="AKC1:AKT1"/>
    <mergeCell ref="ATC1:ATT1"/>
    <mergeCell ref="ATU1:AUL1"/>
    <mergeCell ref="AUM1:AVD1"/>
    <mergeCell ref="AVE1:AVV1"/>
    <mergeCell ref="AVW1:AWN1"/>
    <mergeCell ref="AWO1:AXF1"/>
    <mergeCell ref="AOY1:APP1"/>
    <mergeCell ref="APQ1:AQH1"/>
    <mergeCell ref="AQI1:AQZ1"/>
    <mergeCell ref="ARA1:ARR1"/>
    <mergeCell ref="ARS1:ASJ1"/>
    <mergeCell ref="ASK1:ATB1"/>
    <mergeCell ref="BBK1:BCB1"/>
    <mergeCell ref="BCC1:BCT1"/>
    <mergeCell ref="BCU1:BDL1"/>
    <mergeCell ref="BDM1:BED1"/>
    <mergeCell ref="BEE1:BEV1"/>
    <mergeCell ref="BEW1:BFN1"/>
    <mergeCell ref="AXG1:AXX1"/>
    <mergeCell ref="AXY1:AYP1"/>
    <mergeCell ref="AYQ1:AZH1"/>
    <mergeCell ref="AZI1:AZZ1"/>
    <mergeCell ref="BAA1:BAR1"/>
    <mergeCell ref="BAS1:BBJ1"/>
    <mergeCell ref="BJS1:BKJ1"/>
    <mergeCell ref="BKK1:BLB1"/>
    <mergeCell ref="BLC1:BLT1"/>
    <mergeCell ref="BLU1:BML1"/>
    <mergeCell ref="BMM1:BND1"/>
    <mergeCell ref="BNE1:BNV1"/>
    <mergeCell ref="BFO1:BGF1"/>
    <mergeCell ref="BGG1:BGX1"/>
    <mergeCell ref="BGY1:BHP1"/>
    <mergeCell ref="BHQ1:BIH1"/>
    <mergeCell ref="BII1:BIZ1"/>
    <mergeCell ref="BJA1:BJR1"/>
    <mergeCell ref="BSA1:BSR1"/>
    <mergeCell ref="BSS1:BTJ1"/>
    <mergeCell ref="BTK1:BUB1"/>
    <mergeCell ref="BUC1:BUT1"/>
    <mergeCell ref="BUU1:BVL1"/>
    <mergeCell ref="BVM1:BWD1"/>
    <mergeCell ref="BNW1:BON1"/>
    <mergeCell ref="BOO1:BPF1"/>
    <mergeCell ref="BPG1:BPX1"/>
    <mergeCell ref="BPY1:BQP1"/>
    <mergeCell ref="BQQ1:BRH1"/>
    <mergeCell ref="BRI1:BRZ1"/>
    <mergeCell ref="CAI1:CAZ1"/>
    <mergeCell ref="CBA1:CBR1"/>
    <mergeCell ref="CBS1:CCJ1"/>
    <mergeCell ref="CCK1:CDB1"/>
    <mergeCell ref="CDC1:CDT1"/>
    <mergeCell ref="CDU1:CEL1"/>
    <mergeCell ref="BWE1:BWV1"/>
    <mergeCell ref="BWW1:BXN1"/>
    <mergeCell ref="BXO1:BYF1"/>
    <mergeCell ref="BYG1:BYX1"/>
    <mergeCell ref="BYY1:BZP1"/>
    <mergeCell ref="BZQ1:CAH1"/>
    <mergeCell ref="CIQ1:CJH1"/>
    <mergeCell ref="CJI1:CJZ1"/>
    <mergeCell ref="CKA1:CKR1"/>
    <mergeCell ref="CKS1:CLJ1"/>
    <mergeCell ref="CLK1:CMB1"/>
    <mergeCell ref="CMC1:CMT1"/>
    <mergeCell ref="CEM1:CFD1"/>
    <mergeCell ref="CFE1:CFV1"/>
    <mergeCell ref="CFW1:CGN1"/>
    <mergeCell ref="CGO1:CHF1"/>
    <mergeCell ref="CHG1:CHX1"/>
    <mergeCell ref="CHY1:CIP1"/>
    <mergeCell ref="CQY1:CRP1"/>
    <mergeCell ref="CRQ1:CSH1"/>
    <mergeCell ref="CSI1:CSZ1"/>
    <mergeCell ref="CTA1:CTR1"/>
    <mergeCell ref="CTS1:CUJ1"/>
    <mergeCell ref="CUK1:CVB1"/>
    <mergeCell ref="CMU1:CNL1"/>
    <mergeCell ref="CNM1:COD1"/>
    <mergeCell ref="COE1:COV1"/>
    <mergeCell ref="COW1:CPN1"/>
    <mergeCell ref="CPO1:CQF1"/>
    <mergeCell ref="CQG1:CQX1"/>
    <mergeCell ref="CZG1:CZX1"/>
    <mergeCell ref="CZY1:DAP1"/>
    <mergeCell ref="DAQ1:DBH1"/>
    <mergeCell ref="DBI1:DBZ1"/>
    <mergeCell ref="DCA1:DCR1"/>
    <mergeCell ref="DCS1:DDJ1"/>
    <mergeCell ref="CVC1:CVT1"/>
    <mergeCell ref="CVU1:CWL1"/>
    <mergeCell ref="CWM1:CXD1"/>
    <mergeCell ref="CXE1:CXV1"/>
    <mergeCell ref="CXW1:CYN1"/>
    <mergeCell ref="CYO1:CZF1"/>
    <mergeCell ref="DHO1:DIF1"/>
    <mergeCell ref="DIG1:DIX1"/>
    <mergeCell ref="DIY1:DJP1"/>
    <mergeCell ref="DJQ1:DKH1"/>
    <mergeCell ref="DKI1:DKZ1"/>
    <mergeCell ref="DLA1:DLR1"/>
    <mergeCell ref="DDK1:DEB1"/>
    <mergeCell ref="DEC1:DET1"/>
    <mergeCell ref="DEU1:DFL1"/>
    <mergeCell ref="DFM1:DGD1"/>
    <mergeCell ref="DGE1:DGV1"/>
    <mergeCell ref="DGW1:DHN1"/>
    <mergeCell ref="DPW1:DQN1"/>
    <mergeCell ref="DQO1:DRF1"/>
    <mergeCell ref="DRG1:DRX1"/>
    <mergeCell ref="DRY1:DSP1"/>
    <mergeCell ref="DSQ1:DTH1"/>
    <mergeCell ref="DTI1:DTZ1"/>
    <mergeCell ref="DLS1:DMJ1"/>
    <mergeCell ref="DMK1:DNB1"/>
    <mergeCell ref="DNC1:DNT1"/>
    <mergeCell ref="DNU1:DOL1"/>
    <mergeCell ref="DOM1:DPD1"/>
    <mergeCell ref="DPE1:DPV1"/>
    <mergeCell ref="DYE1:DYV1"/>
    <mergeCell ref="DYW1:DZN1"/>
    <mergeCell ref="DZO1:EAF1"/>
    <mergeCell ref="EAG1:EAX1"/>
    <mergeCell ref="EAY1:EBP1"/>
    <mergeCell ref="EBQ1:ECH1"/>
    <mergeCell ref="DUA1:DUR1"/>
    <mergeCell ref="DUS1:DVJ1"/>
    <mergeCell ref="DVK1:DWB1"/>
    <mergeCell ref="DWC1:DWT1"/>
    <mergeCell ref="DWU1:DXL1"/>
    <mergeCell ref="DXM1:DYD1"/>
    <mergeCell ref="EGM1:EHD1"/>
    <mergeCell ref="EHE1:EHV1"/>
    <mergeCell ref="EHW1:EIN1"/>
    <mergeCell ref="EIO1:EJF1"/>
    <mergeCell ref="EJG1:EJX1"/>
    <mergeCell ref="EJY1:EKP1"/>
    <mergeCell ref="ECI1:ECZ1"/>
    <mergeCell ref="EDA1:EDR1"/>
    <mergeCell ref="EDS1:EEJ1"/>
    <mergeCell ref="EEK1:EFB1"/>
    <mergeCell ref="EFC1:EFT1"/>
    <mergeCell ref="EFU1:EGL1"/>
    <mergeCell ref="EOU1:EPL1"/>
    <mergeCell ref="EPM1:EQD1"/>
    <mergeCell ref="EQE1:EQV1"/>
    <mergeCell ref="EQW1:ERN1"/>
    <mergeCell ref="ERO1:ESF1"/>
    <mergeCell ref="ESG1:ESX1"/>
    <mergeCell ref="EKQ1:ELH1"/>
    <mergeCell ref="ELI1:ELZ1"/>
    <mergeCell ref="EMA1:EMR1"/>
    <mergeCell ref="EMS1:ENJ1"/>
    <mergeCell ref="ENK1:EOB1"/>
    <mergeCell ref="EOC1:EOT1"/>
    <mergeCell ref="EXC1:EXT1"/>
    <mergeCell ref="EXU1:EYL1"/>
    <mergeCell ref="EYM1:EZD1"/>
    <mergeCell ref="EZE1:EZV1"/>
    <mergeCell ref="EZW1:FAN1"/>
    <mergeCell ref="FAO1:FBF1"/>
    <mergeCell ref="ESY1:ETP1"/>
    <mergeCell ref="ETQ1:EUH1"/>
    <mergeCell ref="EUI1:EUZ1"/>
    <mergeCell ref="EVA1:EVR1"/>
    <mergeCell ref="EVS1:EWJ1"/>
    <mergeCell ref="EWK1:EXB1"/>
    <mergeCell ref="FFK1:FGB1"/>
    <mergeCell ref="FGC1:FGT1"/>
    <mergeCell ref="FGU1:FHL1"/>
    <mergeCell ref="FHM1:FID1"/>
    <mergeCell ref="FIE1:FIV1"/>
    <mergeCell ref="FIW1:FJN1"/>
    <mergeCell ref="FBG1:FBX1"/>
    <mergeCell ref="FBY1:FCP1"/>
    <mergeCell ref="FCQ1:FDH1"/>
    <mergeCell ref="FDI1:FDZ1"/>
    <mergeCell ref="FEA1:FER1"/>
    <mergeCell ref="FES1:FFJ1"/>
    <mergeCell ref="FNS1:FOJ1"/>
    <mergeCell ref="FOK1:FPB1"/>
    <mergeCell ref="FPC1:FPT1"/>
    <mergeCell ref="FPU1:FQL1"/>
    <mergeCell ref="FQM1:FRD1"/>
    <mergeCell ref="FRE1:FRV1"/>
    <mergeCell ref="FJO1:FKF1"/>
    <mergeCell ref="FKG1:FKX1"/>
    <mergeCell ref="FKY1:FLP1"/>
    <mergeCell ref="FLQ1:FMH1"/>
    <mergeCell ref="FMI1:FMZ1"/>
    <mergeCell ref="FNA1:FNR1"/>
    <mergeCell ref="FWA1:FWR1"/>
    <mergeCell ref="FWS1:FXJ1"/>
    <mergeCell ref="FXK1:FYB1"/>
    <mergeCell ref="FYC1:FYT1"/>
    <mergeCell ref="FYU1:FZL1"/>
    <mergeCell ref="FZM1:GAD1"/>
    <mergeCell ref="FRW1:FSN1"/>
    <mergeCell ref="FSO1:FTF1"/>
    <mergeCell ref="FTG1:FTX1"/>
    <mergeCell ref="FTY1:FUP1"/>
    <mergeCell ref="FUQ1:FVH1"/>
    <mergeCell ref="FVI1:FVZ1"/>
    <mergeCell ref="GEI1:GEZ1"/>
    <mergeCell ref="GFA1:GFR1"/>
    <mergeCell ref="GFS1:GGJ1"/>
    <mergeCell ref="GGK1:GHB1"/>
    <mergeCell ref="GHC1:GHT1"/>
    <mergeCell ref="GHU1:GIL1"/>
    <mergeCell ref="GAE1:GAV1"/>
    <mergeCell ref="GAW1:GBN1"/>
    <mergeCell ref="GBO1:GCF1"/>
    <mergeCell ref="GCG1:GCX1"/>
    <mergeCell ref="GCY1:GDP1"/>
    <mergeCell ref="GDQ1:GEH1"/>
    <mergeCell ref="GMQ1:GNH1"/>
    <mergeCell ref="GNI1:GNZ1"/>
    <mergeCell ref="GOA1:GOR1"/>
    <mergeCell ref="GOS1:GPJ1"/>
    <mergeCell ref="GPK1:GQB1"/>
    <mergeCell ref="GQC1:GQT1"/>
    <mergeCell ref="GIM1:GJD1"/>
    <mergeCell ref="GJE1:GJV1"/>
    <mergeCell ref="GJW1:GKN1"/>
    <mergeCell ref="GKO1:GLF1"/>
    <mergeCell ref="GLG1:GLX1"/>
    <mergeCell ref="GLY1:GMP1"/>
    <mergeCell ref="GUY1:GVP1"/>
    <mergeCell ref="GVQ1:GWH1"/>
    <mergeCell ref="GWI1:GWZ1"/>
    <mergeCell ref="GXA1:GXR1"/>
    <mergeCell ref="GXS1:GYJ1"/>
    <mergeCell ref="GYK1:GZB1"/>
    <mergeCell ref="GQU1:GRL1"/>
    <mergeCell ref="GRM1:GSD1"/>
    <mergeCell ref="GSE1:GSV1"/>
    <mergeCell ref="GSW1:GTN1"/>
    <mergeCell ref="GTO1:GUF1"/>
    <mergeCell ref="GUG1:GUX1"/>
    <mergeCell ref="HDG1:HDX1"/>
    <mergeCell ref="HDY1:HEP1"/>
    <mergeCell ref="HEQ1:HFH1"/>
    <mergeCell ref="HFI1:HFZ1"/>
    <mergeCell ref="HGA1:HGR1"/>
    <mergeCell ref="HGS1:HHJ1"/>
    <mergeCell ref="GZC1:GZT1"/>
    <mergeCell ref="GZU1:HAL1"/>
    <mergeCell ref="HAM1:HBD1"/>
    <mergeCell ref="HBE1:HBV1"/>
    <mergeCell ref="HBW1:HCN1"/>
    <mergeCell ref="HCO1:HDF1"/>
    <mergeCell ref="HLO1:HMF1"/>
    <mergeCell ref="HMG1:HMX1"/>
    <mergeCell ref="HMY1:HNP1"/>
    <mergeCell ref="HNQ1:HOH1"/>
    <mergeCell ref="HOI1:HOZ1"/>
    <mergeCell ref="HPA1:HPR1"/>
    <mergeCell ref="HHK1:HIB1"/>
    <mergeCell ref="HIC1:HIT1"/>
    <mergeCell ref="HIU1:HJL1"/>
    <mergeCell ref="HJM1:HKD1"/>
    <mergeCell ref="HKE1:HKV1"/>
    <mergeCell ref="HKW1:HLN1"/>
    <mergeCell ref="HTW1:HUN1"/>
    <mergeCell ref="HUO1:HVF1"/>
    <mergeCell ref="HVG1:HVX1"/>
    <mergeCell ref="HVY1:HWP1"/>
    <mergeCell ref="HWQ1:HXH1"/>
    <mergeCell ref="HXI1:HXZ1"/>
    <mergeCell ref="HPS1:HQJ1"/>
    <mergeCell ref="HQK1:HRB1"/>
    <mergeCell ref="HRC1:HRT1"/>
    <mergeCell ref="HRU1:HSL1"/>
    <mergeCell ref="HSM1:HTD1"/>
    <mergeCell ref="HTE1:HTV1"/>
    <mergeCell ref="ICE1:ICV1"/>
    <mergeCell ref="ICW1:IDN1"/>
    <mergeCell ref="IDO1:IEF1"/>
    <mergeCell ref="IEG1:IEX1"/>
    <mergeCell ref="IEY1:IFP1"/>
    <mergeCell ref="IFQ1:IGH1"/>
    <mergeCell ref="HYA1:HYR1"/>
    <mergeCell ref="HYS1:HZJ1"/>
    <mergeCell ref="HZK1:IAB1"/>
    <mergeCell ref="IAC1:IAT1"/>
    <mergeCell ref="IAU1:IBL1"/>
    <mergeCell ref="IBM1:ICD1"/>
    <mergeCell ref="IKM1:ILD1"/>
    <mergeCell ref="ILE1:ILV1"/>
    <mergeCell ref="ILW1:IMN1"/>
    <mergeCell ref="IMO1:INF1"/>
    <mergeCell ref="ING1:INX1"/>
    <mergeCell ref="INY1:IOP1"/>
    <mergeCell ref="IGI1:IGZ1"/>
    <mergeCell ref="IHA1:IHR1"/>
    <mergeCell ref="IHS1:IIJ1"/>
    <mergeCell ref="IIK1:IJB1"/>
    <mergeCell ref="IJC1:IJT1"/>
    <mergeCell ref="IJU1:IKL1"/>
    <mergeCell ref="ISU1:ITL1"/>
    <mergeCell ref="ITM1:IUD1"/>
    <mergeCell ref="IUE1:IUV1"/>
    <mergeCell ref="IUW1:IVN1"/>
    <mergeCell ref="IVO1:IWF1"/>
    <mergeCell ref="IWG1:IWX1"/>
    <mergeCell ref="IOQ1:IPH1"/>
    <mergeCell ref="IPI1:IPZ1"/>
    <mergeCell ref="IQA1:IQR1"/>
    <mergeCell ref="IQS1:IRJ1"/>
    <mergeCell ref="IRK1:ISB1"/>
    <mergeCell ref="ISC1:IST1"/>
    <mergeCell ref="JBC1:JBT1"/>
    <mergeCell ref="JBU1:JCL1"/>
    <mergeCell ref="JCM1:JDD1"/>
    <mergeCell ref="JDE1:JDV1"/>
    <mergeCell ref="JDW1:JEN1"/>
    <mergeCell ref="JEO1:JFF1"/>
    <mergeCell ref="IWY1:IXP1"/>
    <mergeCell ref="IXQ1:IYH1"/>
    <mergeCell ref="IYI1:IYZ1"/>
    <mergeCell ref="IZA1:IZR1"/>
    <mergeCell ref="IZS1:JAJ1"/>
    <mergeCell ref="JAK1:JBB1"/>
    <mergeCell ref="JJK1:JKB1"/>
    <mergeCell ref="JKC1:JKT1"/>
    <mergeCell ref="JKU1:JLL1"/>
    <mergeCell ref="JLM1:JMD1"/>
    <mergeCell ref="JME1:JMV1"/>
    <mergeCell ref="JMW1:JNN1"/>
    <mergeCell ref="JFG1:JFX1"/>
    <mergeCell ref="JFY1:JGP1"/>
    <mergeCell ref="JGQ1:JHH1"/>
    <mergeCell ref="JHI1:JHZ1"/>
    <mergeCell ref="JIA1:JIR1"/>
    <mergeCell ref="JIS1:JJJ1"/>
    <mergeCell ref="JRS1:JSJ1"/>
    <mergeCell ref="JSK1:JTB1"/>
    <mergeCell ref="JTC1:JTT1"/>
    <mergeCell ref="JTU1:JUL1"/>
    <mergeCell ref="JUM1:JVD1"/>
    <mergeCell ref="JVE1:JVV1"/>
    <mergeCell ref="JNO1:JOF1"/>
    <mergeCell ref="JOG1:JOX1"/>
    <mergeCell ref="JOY1:JPP1"/>
    <mergeCell ref="JPQ1:JQH1"/>
    <mergeCell ref="JQI1:JQZ1"/>
    <mergeCell ref="JRA1:JRR1"/>
    <mergeCell ref="KAA1:KAR1"/>
    <mergeCell ref="KAS1:KBJ1"/>
    <mergeCell ref="KBK1:KCB1"/>
    <mergeCell ref="KCC1:KCT1"/>
    <mergeCell ref="KCU1:KDL1"/>
    <mergeCell ref="KDM1:KED1"/>
    <mergeCell ref="JVW1:JWN1"/>
    <mergeCell ref="JWO1:JXF1"/>
    <mergeCell ref="JXG1:JXX1"/>
    <mergeCell ref="JXY1:JYP1"/>
    <mergeCell ref="JYQ1:JZH1"/>
    <mergeCell ref="JZI1:JZZ1"/>
    <mergeCell ref="KII1:KIZ1"/>
    <mergeCell ref="KJA1:KJR1"/>
    <mergeCell ref="KJS1:KKJ1"/>
    <mergeCell ref="KKK1:KLB1"/>
    <mergeCell ref="KLC1:KLT1"/>
    <mergeCell ref="KLU1:KML1"/>
    <mergeCell ref="KEE1:KEV1"/>
    <mergeCell ref="KEW1:KFN1"/>
    <mergeCell ref="KFO1:KGF1"/>
    <mergeCell ref="KGG1:KGX1"/>
    <mergeCell ref="KGY1:KHP1"/>
    <mergeCell ref="KHQ1:KIH1"/>
    <mergeCell ref="KQQ1:KRH1"/>
    <mergeCell ref="KRI1:KRZ1"/>
    <mergeCell ref="KSA1:KSR1"/>
    <mergeCell ref="KSS1:KTJ1"/>
    <mergeCell ref="KTK1:KUB1"/>
    <mergeCell ref="KUC1:KUT1"/>
    <mergeCell ref="KMM1:KND1"/>
    <mergeCell ref="KNE1:KNV1"/>
    <mergeCell ref="KNW1:KON1"/>
    <mergeCell ref="KOO1:KPF1"/>
    <mergeCell ref="KPG1:KPX1"/>
    <mergeCell ref="KPY1:KQP1"/>
    <mergeCell ref="KYY1:KZP1"/>
    <mergeCell ref="KZQ1:LAH1"/>
    <mergeCell ref="LAI1:LAZ1"/>
    <mergeCell ref="LBA1:LBR1"/>
    <mergeCell ref="LBS1:LCJ1"/>
    <mergeCell ref="LCK1:LDB1"/>
    <mergeCell ref="KUU1:KVL1"/>
    <mergeCell ref="KVM1:KWD1"/>
    <mergeCell ref="KWE1:KWV1"/>
    <mergeCell ref="KWW1:KXN1"/>
    <mergeCell ref="KXO1:KYF1"/>
    <mergeCell ref="KYG1:KYX1"/>
    <mergeCell ref="LHG1:LHX1"/>
    <mergeCell ref="LHY1:LIP1"/>
    <mergeCell ref="LIQ1:LJH1"/>
    <mergeCell ref="LJI1:LJZ1"/>
    <mergeCell ref="LKA1:LKR1"/>
    <mergeCell ref="LKS1:LLJ1"/>
    <mergeCell ref="LDC1:LDT1"/>
    <mergeCell ref="LDU1:LEL1"/>
    <mergeCell ref="LEM1:LFD1"/>
    <mergeCell ref="LFE1:LFV1"/>
    <mergeCell ref="LFW1:LGN1"/>
    <mergeCell ref="LGO1:LHF1"/>
    <mergeCell ref="LPO1:LQF1"/>
    <mergeCell ref="LQG1:LQX1"/>
    <mergeCell ref="LQY1:LRP1"/>
    <mergeCell ref="LRQ1:LSH1"/>
    <mergeCell ref="LSI1:LSZ1"/>
    <mergeCell ref="LTA1:LTR1"/>
    <mergeCell ref="LLK1:LMB1"/>
    <mergeCell ref="LMC1:LMT1"/>
    <mergeCell ref="LMU1:LNL1"/>
    <mergeCell ref="LNM1:LOD1"/>
    <mergeCell ref="LOE1:LOV1"/>
    <mergeCell ref="LOW1:LPN1"/>
    <mergeCell ref="LXW1:LYN1"/>
    <mergeCell ref="LYO1:LZF1"/>
    <mergeCell ref="LZG1:LZX1"/>
    <mergeCell ref="LZY1:MAP1"/>
    <mergeCell ref="MAQ1:MBH1"/>
    <mergeCell ref="MBI1:MBZ1"/>
    <mergeCell ref="LTS1:LUJ1"/>
    <mergeCell ref="LUK1:LVB1"/>
    <mergeCell ref="LVC1:LVT1"/>
    <mergeCell ref="LVU1:LWL1"/>
    <mergeCell ref="LWM1:LXD1"/>
    <mergeCell ref="LXE1:LXV1"/>
    <mergeCell ref="MGE1:MGV1"/>
    <mergeCell ref="MGW1:MHN1"/>
    <mergeCell ref="MHO1:MIF1"/>
    <mergeCell ref="MIG1:MIX1"/>
    <mergeCell ref="MIY1:MJP1"/>
    <mergeCell ref="MJQ1:MKH1"/>
    <mergeCell ref="MCA1:MCR1"/>
    <mergeCell ref="MCS1:MDJ1"/>
    <mergeCell ref="MDK1:MEB1"/>
    <mergeCell ref="MEC1:MET1"/>
    <mergeCell ref="MEU1:MFL1"/>
    <mergeCell ref="MFM1:MGD1"/>
    <mergeCell ref="MOM1:MPD1"/>
    <mergeCell ref="MPE1:MPV1"/>
    <mergeCell ref="MPW1:MQN1"/>
    <mergeCell ref="MQO1:MRF1"/>
    <mergeCell ref="MRG1:MRX1"/>
    <mergeCell ref="MRY1:MSP1"/>
    <mergeCell ref="MKI1:MKZ1"/>
    <mergeCell ref="MLA1:MLR1"/>
    <mergeCell ref="MLS1:MMJ1"/>
    <mergeCell ref="MMK1:MNB1"/>
    <mergeCell ref="MNC1:MNT1"/>
    <mergeCell ref="MNU1:MOL1"/>
    <mergeCell ref="MWU1:MXL1"/>
    <mergeCell ref="MXM1:MYD1"/>
    <mergeCell ref="MYE1:MYV1"/>
    <mergeCell ref="MYW1:MZN1"/>
    <mergeCell ref="MZO1:NAF1"/>
    <mergeCell ref="NAG1:NAX1"/>
    <mergeCell ref="MSQ1:MTH1"/>
    <mergeCell ref="MTI1:MTZ1"/>
    <mergeCell ref="MUA1:MUR1"/>
    <mergeCell ref="MUS1:MVJ1"/>
    <mergeCell ref="MVK1:MWB1"/>
    <mergeCell ref="MWC1:MWT1"/>
    <mergeCell ref="NFC1:NFT1"/>
    <mergeCell ref="NFU1:NGL1"/>
    <mergeCell ref="NGM1:NHD1"/>
    <mergeCell ref="NHE1:NHV1"/>
    <mergeCell ref="NHW1:NIN1"/>
    <mergeCell ref="NIO1:NJF1"/>
    <mergeCell ref="NAY1:NBP1"/>
    <mergeCell ref="NBQ1:NCH1"/>
    <mergeCell ref="NCI1:NCZ1"/>
    <mergeCell ref="NDA1:NDR1"/>
    <mergeCell ref="NDS1:NEJ1"/>
    <mergeCell ref="NEK1:NFB1"/>
    <mergeCell ref="NNK1:NOB1"/>
    <mergeCell ref="NOC1:NOT1"/>
    <mergeCell ref="NOU1:NPL1"/>
    <mergeCell ref="NPM1:NQD1"/>
    <mergeCell ref="NQE1:NQV1"/>
    <mergeCell ref="NQW1:NRN1"/>
    <mergeCell ref="NJG1:NJX1"/>
    <mergeCell ref="NJY1:NKP1"/>
    <mergeCell ref="NKQ1:NLH1"/>
    <mergeCell ref="NLI1:NLZ1"/>
    <mergeCell ref="NMA1:NMR1"/>
    <mergeCell ref="NMS1:NNJ1"/>
    <mergeCell ref="NVS1:NWJ1"/>
    <mergeCell ref="NWK1:NXB1"/>
    <mergeCell ref="NXC1:NXT1"/>
    <mergeCell ref="NXU1:NYL1"/>
    <mergeCell ref="NYM1:NZD1"/>
    <mergeCell ref="NZE1:NZV1"/>
    <mergeCell ref="NRO1:NSF1"/>
    <mergeCell ref="NSG1:NSX1"/>
    <mergeCell ref="NSY1:NTP1"/>
    <mergeCell ref="NTQ1:NUH1"/>
    <mergeCell ref="NUI1:NUZ1"/>
    <mergeCell ref="NVA1:NVR1"/>
    <mergeCell ref="OEA1:OER1"/>
    <mergeCell ref="OES1:OFJ1"/>
    <mergeCell ref="OFK1:OGB1"/>
    <mergeCell ref="OGC1:OGT1"/>
    <mergeCell ref="OGU1:OHL1"/>
    <mergeCell ref="OHM1:OID1"/>
    <mergeCell ref="NZW1:OAN1"/>
    <mergeCell ref="OAO1:OBF1"/>
    <mergeCell ref="OBG1:OBX1"/>
    <mergeCell ref="OBY1:OCP1"/>
    <mergeCell ref="OCQ1:ODH1"/>
    <mergeCell ref="ODI1:ODZ1"/>
    <mergeCell ref="OMI1:OMZ1"/>
    <mergeCell ref="ONA1:ONR1"/>
    <mergeCell ref="ONS1:OOJ1"/>
    <mergeCell ref="OOK1:OPB1"/>
    <mergeCell ref="OPC1:OPT1"/>
    <mergeCell ref="OPU1:OQL1"/>
    <mergeCell ref="OIE1:OIV1"/>
    <mergeCell ref="OIW1:OJN1"/>
    <mergeCell ref="OJO1:OKF1"/>
    <mergeCell ref="OKG1:OKX1"/>
    <mergeCell ref="OKY1:OLP1"/>
    <mergeCell ref="OLQ1:OMH1"/>
    <mergeCell ref="OUQ1:OVH1"/>
    <mergeCell ref="OVI1:OVZ1"/>
    <mergeCell ref="OWA1:OWR1"/>
    <mergeCell ref="OWS1:OXJ1"/>
    <mergeCell ref="OXK1:OYB1"/>
    <mergeCell ref="OYC1:OYT1"/>
    <mergeCell ref="OQM1:ORD1"/>
    <mergeCell ref="ORE1:ORV1"/>
    <mergeCell ref="ORW1:OSN1"/>
    <mergeCell ref="OSO1:OTF1"/>
    <mergeCell ref="OTG1:OTX1"/>
    <mergeCell ref="OTY1:OUP1"/>
    <mergeCell ref="PCY1:PDP1"/>
    <mergeCell ref="PDQ1:PEH1"/>
    <mergeCell ref="PEI1:PEZ1"/>
    <mergeCell ref="PFA1:PFR1"/>
    <mergeCell ref="PFS1:PGJ1"/>
    <mergeCell ref="PGK1:PHB1"/>
    <mergeCell ref="OYU1:OZL1"/>
    <mergeCell ref="OZM1:PAD1"/>
    <mergeCell ref="PAE1:PAV1"/>
    <mergeCell ref="PAW1:PBN1"/>
    <mergeCell ref="PBO1:PCF1"/>
    <mergeCell ref="PCG1:PCX1"/>
    <mergeCell ref="PLG1:PLX1"/>
    <mergeCell ref="PLY1:PMP1"/>
    <mergeCell ref="PMQ1:PNH1"/>
    <mergeCell ref="PNI1:PNZ1"/>
    <mergeCell ref="POA1:POR1"/>
    <mergeCell ref="POS1:PPJ1"/>
    <mergeCell ref="PHC1:PHT1"/>
    <mergeCell ref="PHU1:PIL1"/>
    <mergeCell ref="PIM1:PJD1"/>
    <mergeCell ref="PJE1:PJV1"/>
    <mergeCell ref="PJW1:PKN1"/>
    <mergeCell ref="PKO1:PLF1"/>
    <mergeCell ref="PTO1:PUF1"/>
    <mergeCell ref="PUG1:PUX1"/>
    <mergeCell ref="PUY1:PVP1"/>
    <mergeCell ref="PVQ1:PWH1"/>
    <mergeCell ref="PWI1:PWZ1"/>
    <mergeCell ref="PXA1:PXR1"/>
    <mergeCell ref="PPK1:PQB1"/>
    <mergeCell ref="PQC1:PQT1"/>
    <mergeCell ref="PQU1:PRL1"/>
    <mergeCell ref="PRM1:PSD1"/>
    <mergeCell ref="PSE1:PSV1"/>
    <mergeCell ref="PSW1:PTN1"/>
    <mergeCell ref="QBW1:QCN1"/>
    <mergeCell ref="QCO1:QDF1"/>
    <mergeCell ref="QDG1:QDX1"/>
    <mergeCell ref="QDY1:QEP1"/>
    <mergeCell ref="QEQ1:QFH1"/>
    <mergeCell ref="QFI1:QFZ1"/>
    <mergeCell ref="PXS1:PYJ1"/>
    <mergeCell ref="PYK1:PZB1"/>
    <mergeCell ref="PZC1:PZT1"/>
    <mergeCell ref="PZU1:QAL1"/>
    <mergeCell ref="QAM1:QBD1"/>
    <mergeCell ref="QBE1:QBV1"/>
    <mergeCell ref="QKE1:QKV1"/>
    <mergeCell ref="QKW1:QLN1"/>
    <mergeCell ref="QLO1:QMF1"/>
    <mergeCell ref="QMG1:QMX1"/>
    <mergeCell ref="QMY1:QNP1"/>
    <mergeCell ref="QNQ1:QOH1"/>
    <mergeCell ref="QGA1:QGR1"/>
    <mergeCell ref="QGS1:QHJ1"/>
    <mergeCell ref="QHK1:QIB1"/>
    <mergeCell ref="QIC1:QIT1"/>
    <mergeCell ref="QIU1:QJL1"/>
    <mergeCell ref="QJM1:QKD1"/>
    <mergeCell ref="QSM1:QTD1"/>
    <mergeCell ref="QTE1:QTV1"/>
    <mergeCell ref="QTW1:QUN1"/>
    <mergeCell ref="QUO1:QVF1"/>
    <mergeCell ref="QVG1:QVX1"/>
    <mergeCell ref="QVY1:QWP1"/>
    <mergeCell ref="QOI1:QOZ1"/>
    <mergeCell ref="QPA1:QPR1"/>
    <mergeCell ref="QPS1:QQJ1"/>
    <mergeCell ref="QQK1:QRB1"/>
    <mergeCell ref="QRC1:QRT1"/>
    <mergeCell ref="QRU1:QSL1"/>
    <mergeCell ref="RAU1:RBL1"/>
    <mergeCell ref="RBM1:RCD1"/>
    <mergeCell ref="RCE1:RCV1"/>
    <mergeCell ref="RCW1:RDN1"/>
    <mergeCell ref="RDO1:REF1"/>
    <mergeCell ref="REG1:REX1"/>
    <mergeCell ref="QWQ1:QXH1"/>
    <mergeCell ref="QXI1:QXZ1"/>
    <mergeCell ref="QYA1:QYR1"/>
    <mergeCell ref="QYS1:QZJ1"/>
    <mergeCell ref="QZK1:RAB1"/>
    <mergeCell ref="RAC1:RAT1"/>
    <mergeCell ref="RJC1:RJT1"/>
    <mergeCell ref="RJU1:RKL1"/>
    <mergeCell ref="RKM1:RLD1"/>
    <mergeCell ref="RLE1:RLV1"/>
    <mergeCell ref="RLW1:RMN1"/>
    <mergeCell ref="RMO1:RNF1"/>
    <mergeCell ref="REY1:RFP1"/>
    <mergeCell ref="RFQ1:RGH1"/>
    <mergeCell ref="RGI1:RGZ1"/>
    <mergeCell ref="RHA1:RHR1"/>
    <mergeCell ref="RHS1:RIJ1"/>
    <mergeCell ref="RIK1:RJB1"/>
    <mergeCell ref="RRK1:RSB1"/>
    <mergeCell ref="RSC1:RST1"/>
    <mergeCell ref="RSU1:RTL1"/>
    <mergeCell ref="RTM1:RUD1"/>
    <mergeCell ref="RUE1:RUV1"/>
    <mergeCell ref="RUW1:RVN1"/>
    <mergeCell ref="RNG1:RNX1"/>
    <mergeCell ref="RNY1:ROP1"/>
    <mergeCell ref="ROQ1:RPH1"/>
    <mergeCell ref="RPI1:RPZ1"/>
    <mergeCell ref="RQA1:RQR1"/>
    <mergeCell ref="RQS1:RRJ1"/>
    <mergeCell ref="RZS1:SAJ1"/>
    <mergeCell ref="SAK1:SBB1"/>
    <mergeCell ref="SBC1:SBT1"/>
    <mergeCell ref="SBU1:SCL1"/>
    <mergeCell ref="SCM1:SDD1"/>
    <mergeCell ref="SDE1:SDV1"/>
    <mergeCell ref="RVO1:RWF1"/>
    <mergeCell ref="RWG1:RWX1"/>
    <mergeCell ref="RWY1:RXP1"/>
    <mergeCell ref="RXQ1:RYH1"/>
    <mergeCell ref="RYI1:RYZ1"/>
    <mergeCell ref="RZA1:RZR1"/>
    <mergeCell ref="SIA1:SIR1"/>
    <mergeCell ref="SIS1:SJJ1"/>
    <mergeCell ref="SJK1:SKB1"/>
    <mergeCell ref="SKC1:SKT1"/>
    <mergeCell ref="SKU1:SLL1"/>
    <mergeCell ref="SLM1:SMD1"/>
    <mergeCell ref="SDW1:SEN1"/>
    <mergeCell ref="SEO1:SFF1"/>
    <mergeCell ref="SFG1:SFX1"/>
    <mergeCell ref="SFY1:SGP1"/>
    <mergeCell ref="SGQ1:SHH1"/>
    <mergeCell ref="SHI1:SHZ1"/>
    <mergeCell ref="SQI1:SQZ1"/>
    <mergeCell ref="SRA1:SRR1"/>
    <mergeCell ref="SRS1:SSJ1"/>
    <mergeCell ref="SSK1:STB1"/>
    <mergeCell ref="STC1:STT1"/>
    <mergeCell ref="STU1:SUL1"/>
    <mergeCell ref="SME1:SMV1"/>
    <mergeCell ref="SMW1:SNN1"/>
    <mergeCell ref="SNO1:SOF1"/>
    <mergeCell ref="SOG1:SOX1"/>
    <mergeCell ref="SOY1:SPP1"/>
    <mergeCell ref="SPQ1:SQH1"/>
    <mergeCell ref="SYQ1:SZH1"/>
    <mergeCell ref="SZI1:SZZ1"/>
    <mergeCell ref="TAA1:TAR1"/>
    <mergeCell ref="TAS1:TBJ1"/>
    <mergeCell ref="TBK1:TCB1"/>
    <mergeCell ref="TCC1:TCT1"/>
    <mergeCell ref="SUM1:SVD1"/>
    <mergeCell ref="SVE1:SVV1"/>
    <mergeCell ref="SVW1:SWN1"/>
    <mergeCell ref="SWO1:SXF1"/>
    <mergeCell ref="SXG1:SXX1"/>
    <mergeCell ref="SXY1:SYP1"/>
    <mergeCell ref="TGY1:THP1"/>
    <mergeCell ref="THQ1:TIH1"/>
    <mergeCell ref="TII1:TIZ1"/>
    <mergeCell ref="TJA1:TJR1"/>
    <mergeCell ref="TJS1:TKJ1"/>
    <mergeCell ref="TKK1:TLB1"/>
    <mergeCell ref="TCU1:TDL1"/>
    <mergeCell ref="TDM1:TED1"/>
    <mergeCell ref="TEE1:TEV1"/>
    <mergeCell ref="TEW1:TFN1"/>
    <mergeCell ref="TFO1:TGF1"/>
    <mergeCell ref="TGG1:TGX1"/>
    <mergeCell ref="TPG1:TPX1"/>
    <mergeCell ref="TPY1:TQP1"/>
    <mergeCell ref="TQQ1:TRH1"/>
    <mergeCell ref="TRI1:TRZ1"/>
    <mergeCell ref="TSA1:TSR1"/>
    <mergeCell ref="TSS1:TTJ1"/>
    <mergeCell ref="TLC1:TLT1"/>
    <mergeCell ref="TLU1:TML1"/>
    <mergeCell ref="TMM1:TND1"/>
    <mergeCell ref="TNE1:TNV1"/>
    <mergeCell ref="TNW1:TON1"/>
    <mergeCell ref="TOO1:TPF1"/>
    <mergeCell ref="TXO1:TYF1"/>
    <mergeCell ref="TYG1:TYX1"/>
    <mergeCell ref="TYY1:TZP1"/>
    <mergeCell ref="TZQ1:UAH1"/>
    <mergeCell ref="UAI1:UAZ1"/>
    <mergeCell ref="UBA1:UBR1"/>
    <mergeCell ref="TTK1:TUB1"/>
    <mergeCell ref="TUC1:TUT1"/>
    <mergeCell ref="TUU1:TVL1"/>
    <mergeCell ref="TVM1:TWD1"/>
    <mergeCell ref="TWE1:TWV1"/>
    <mergeCell ref="TWW1:TXN1"/>
    <mergeCell ref="UFW1:UGN1"/>
    <mergeCell ref="UGO1:UHF1"/>
    <mergeCell ref="UHG1:UHX1"/>
    <mergeCell ref="UHY1:UIP1"/>
    <mergeCell ref="UIQ1:UJH1"/>
    <mergeCell ref="UJI1:UJZ1"/>
    <mergeCell ref="UBS1:UCJ1"/>
    <mergeCell ref="UCK1:UDB1"/>
    <mergeCell ref="UDC1:UDT1"/>
    <mergeCell ref="UDU1:UEL1"/>
    <mergeCell ref="UEM1:UFD1"/>
    <mergeCell ref="UFE1:UFV1"/>
    <mergeCell ref="UOE1:UOV1"/>
    <mergeCell ref="UOW1:UPN1"/>
    <mergeCell ref="UPO1:UQF1"/>
    <mergeCell ref="UQG1:UQX1"/>
    <mergeCell ref="UQY1:URP1"/>
    <mergeCell ref="URQ1:USH1"/>
    <mergeCell ref="UKA1:UKR1"/>
    <mergeCell ref="UKS1:ULJ1"/>
    <mergeCell ref="ULK1:UMB1"/>
    <mergeCell ref="UMC1:UMT1"/>
    <mergeCell ref="UMU1:UNL1"/>
    <mergeCell ref="UNM1:UOD1"/>
    <mergeCell ref="UWM1:UXD1"/>
    <mergeCell ref="UXE1:UXV1"/>
    <mergeCell ref="UXW1:UYN1"/>
    <mergeCell ref="UYO1:UZF1"/>
    <mergeCell ref="UZG1:UZX1"/>
    <mergeCell ref="UZY1:VAP1"/>
    <mergeCell ref="USI1:USZ1"/>
    <mergeCell ref="UTA1:UTR1"/>
    <mergeCell ref="UTS1:UUJ1"/>
    <mergeCell ref="UUK1:UVB1"/>
    <mergeCell ref="UVC1:UVT1"/>
    <mergeCell ref="UVU1:UWL1"/>
    <mergeCell ref="VEU1:VFL1"/>
    <mergeCell ref="VFM1:VGD1"/>
    <mergeCell ref="VGE1:VGV1"/>
    <mergeCell ref="VGW1:VHN1"/>
    <mergeCell ref="VHO1:VIF1"/>
    <mergeCell ref="VIG1:VIX1"/>
    <mergeCell ref="VAQ1:VBH1"/>
    <mergeCell ref="VBI1:VBZ1"/>
    <mergeCell ref="VCA1:VCR1"/>
    <mergeCell ref="VCS1:VDJ1"/>
    <mergeCell ref="VDK1:VEB1"/>
    <mergeCell ref="VEC1:VET1"/>
    <mergeCell ref="VNC1:VNT1"/>
    <mergeCell ref="VNU1:VOL1"/>
    <mergeCell ref="VOM1:VPD1"/>
    <mergeCell ref="VPE1:VPV1"/>
    <mergeCell ref="VPW1:VQN1"/>
    <mergeCell ref="VQO1:VRF1"/>
    <mergeCell ref="VIY1:VJP1"/>
    <mergeCell ref="VJQ1:VKH1"/>
    <mergeCell ref="VKI1:VKZ1"/>
    <mergeCell ref="VLA1:VLR1"/>
    <mergeCell ref="VLS1:VMJ1"/>
    <mergeCell ref="VMK1:VNB1"/>
    <mergeCell ref="VVK1:VWB1"/>
    <mergeCell ref="VWC1:VWT1"/>
    <mergeCell ref="VWU1:VXL1"/>
    <mergeCell ref="VXM1:VYD1"/>
    <mergeCell ref="VYE1:VYV1"/>
    <mergeCell ref="VYW1:VZN1"/>
    <mergeCell ref="VRG1:VRX1"/>
    <mergeCell ref="VRY1:VSP1"/>
    <mergeCell ref="VSQ1:VTH1"/>
    <mergeCell ref="VTI1:VTZ1"/>
    <mergeCell ref="VUA1:VUR1"/>
    <mergeCell ref="VUS1:VVJ1"/>
    <mergeCell ref="WDS1:WEJ1"/>
    <mergeCell ref="WEK1:WFB1"/>
    <mergeCell ref="WFC1:WFT1"/>
    <mergeCell ref="WFU1:WGL1"/>
    <mergeCell ref="WGM1:WHD1"/>
    <mergeCell ref="WHE1:WHV1"/>
    <mergeCell ref="VZO1:WAF1"/>
    <mergeCell ref="WAG1:WAX1"/>
    <mergeCell ref="WAY1:WBP1"/>
    <mergeCell ref="WBQ1:WCH1"/>
    <mergeCell ref="WCI1:WCZ1"/>
    <mergeCell ref="WDA1:WDR1"/>
    <mergeCell ref="WMA1:WMR1"/>
    <mergeCell ref="WMS1:WNJ1"/>
    <mergeCell ref="WNK1:WOB1"/>
    <mergeCell ref="WOC1:WOT1"/>
    <mergeCell ref="WOU1:WPL1"/>
    <mergeCell ref="WPM1:WQD1"/>
    <mergeCell ref="WHW1:WIN1"/>
    <mergeCell ref="WIO1:WJF1"/>
    <mergeCell ref="WJG1:WJX1"/>
    <mergeCell ref="WJY1:WKP1"/>
    <mergeCell ref="WKQ1:WLH1"/>
    <mergeCell ref="WLI1:WLZ1"/>
    <mergeCell ref="WUI1:WUZ1"/>
    <mergeCell ref="WVA1:WVR1"/>
    <mergeCell ref="WVS1:WWJ1"/>
    <mergeCell ref="WWK1:WXB1"/>
    <mergeCell ref="WXC1:WXT1"/>
    <mergeCell ref="WXU1:WYL1"/>
    <mergeCell ref="WQE1:WQV1"/>
    <mergeCell ref="WQW1:WRN1"/>
    <mergeCell ref="WRO1:WSF1"/>
    <mergeCell ref="WSG1:WSX1"/>
    <mergeCell ref="WSY1:WTP1"/>
    <mergeCell ref="WTQ1:WUH1"/>
    <mergeCell ref="XCQ1:XDH1"/>
    <mergeCell ref="XDI1:XDZ1"/>
    <mergeCell ref="XEA1:XER1"/>
    <mergeCell ref="XES1:XEV1"/>
    <mergeCell ref="WYM1:WZD1"/>
    <mergeCell ref="WZE1:WZV1"/>
    <mergeCell ref="WZW1:XAN1"/>
    <mergeCell ref="XAO1:XBF1"/>
    <mergeCell ref="XBG1:XBX1"/>
    <mergeCell ref="XBY1:XCP1"/>
  </mergeCells>
  <conditionalFormatting sqref="B11:B28">
    <cfRule type="containsBlanks" priority="41" stopIfTrue="1">
      <formula>LEN(TRIM(B11))=0</formula>
    </cfRule>
    <cfRule type="expression" dxfId="556" priority="42" stopIfTrue="1">
      <formula>ISNUMBER(B11)=FALSE</formula>
    </cfRule>
    <cfRule type="cellIs" dxfId="555" priority="43" stopIfTrue="1" operator="lessThan">
      <formula>2018</formula>
    </cfRule>
    <cfRule type="expression" dxfId="554" priority="44" stopIfTrue="1">
      <formula>MOD(B11,1)&lt;&gt;0</formula>
    </cfRule>
  </conditionalFormatting>
  <conditionalFormatting sqref="B11:B28">
    <cfRule type="cellIs" dxfId="553" priority="40" stopIfTrue="1" operator="greaterThan">
      <formula>2020</formula>
    </cfRule>
  </conditionalFormatting>
  <conditionalFormatting sqref="D11:F28">
    <cfRule type="containsBlanks" priority="37" stopIfTrue="1">
      <formula>LEN(TRIM(D11))=0</formula>
    </cfRule>
    <cfRule type="expression" dxfId="552" priority="38" stopIfTrue="1">
      <formula>ISNUMBER(D11)=FALSE</formula>
    </cfRule>
    <cfRule type="cellIs" dxfId="551" priority="39" stopIfTrue="1" operator="greaterThan">
      <formula>0</formula>
    </cfRule>
  </conditionalFormatting>
  <conditionalFormatting sqref="C11">
    <cfRule type="cellIs" priority="19" stopIfTrue="1" operator="equal">
      <formula>5</formula>
    </cfRule>
    <cfRule type="cellIs" priority="20" stopIfTrue="1" operator="equal">
      <formula>6</formula>
    </cfRule>
    <cfRule type="cellIs" priority="21" stopIfTrue="1" operator="equal">
      <formula>4</formula>
    </cfRule>
    <cfRule type="cellIs" priority="22" stopIfTrue="1" operator="equal">
      <formula>3</formula>
    </cfRule>
    <cfRule type="cellIs" priority="23" stopIfTrue="1" operator="equal">
      <formula>2</formula>
    </cfRule>
    <cfRule type="cellIs" priority="24" stopIfTrue="1" operator="equal">
      <formula>1</formula>
    </cfRule>
    <cfRule type="containsBlanks" dxfId="550" priority="25" stopIfTrue="1">
      <formula>LEN(TRIM(C11))=0</formula>
    </cfRule>
    <cfRule type="cellIs" dxfId="549" priority="26" operator="notBetween">
      <formula>1</formula>
      <formula>6</formula>
    </cfRule>
  </conditionalFormatting>
  <conditionalFormatting sqref="C11">
    <cfRule type="cellIs" dxfId="548" priority="27" operator="between">
      <formula>1.0000001</formula>
      <formula>1.9999999</formula>
    </cfRule>
    <cfRule type="cellIs" dxfId="547" priority="28" operator="between">
      <formula>2.0000001</formula>
      <formula>2.9999999</formula>
    </cfRule>
    <cfRule type="cellIs" dxfId="546" priority="29" operator="between">
      <formula>3.0000001</formula>
      <formula>3.9999999</formula>
    </cfRule>
    <cfRule type="cellIs" dxfId="545" priority="30" operator="between">
      <formula>4.0000001</formula>
      <formula>4.9999999</formula>
    </cfRule>
    <cfRule type="cellIs" dxfId="544" priority="31" operator="between">
      <formula>5.0000001</formula>
      <formula>5.9999999</formula>
    </cfRule>
  </conditionalFormatting>
  <conditionalFormatting sqref="C12:C28">
    <cfRule type="cellIs" priority="6" stopIfTrue="1" operator="equal">
      <formula>5</formula>
    </cfRule>
    <cfRule type="cellIs" priority="7" stopIfTrue="1" operator="equal">
      <formula>6</formula>
    </cfRule>
    <cfRule type="cellIs" priority="8" stopIfTrue="1" operator="equal">
      <formula>4</formula>
    </cfRule>
    <cfRule type="cellIs" priority="9" stopIfTrue="1" operator="equal">
      <formula>3</formula>
    </cfRule>
    <cfRule type="cellIs" priority="10" stopIfTrue="1" operator="equal">
      <formula>2</formula>
    </cfRule>
    <cfRule type="cellIs" priority="11" stopIfTrue="1" operator="equal">
      <formula>1</formula>
    </cfRule>
    <cfRule type="containsBlanks" dxfId="543" priority="12" stopIfTrue="1">
      <formula>LEN(TRIM(C12))=0</formula>
    </cfRule>
    <cfRule type="cellIs" dxfId="542" priority="13" operator="notBetween">
      <formula>1</formula>
      <formula>6</formula>
    </cfRule>
  </conditionalFormatting>
  <conditionalFormatting sqref="C12:C28">
    <cfRule type="cellIs" dxfId="541" priority="14" operator="between">
      <formula>1.0000001</formula>
      <formula>1.9999999</formula>
    </cfRule>
    <cfRule type="cellIs" dxfId="540" priority="15" operator="between">
      <formula>2.0000001</formula>
      <formula>2.9999999</formula>
    </cfRule>
    <cfRule type="cellIs" dxfId="539" priority="16" operator="between">
      <formula>3.0000001</formula>
      <formula>3.9999999</formula>
    </cfRule>
    <cfRule type="cellIs" dxfId="538" priority="17" operator="between">
      <formula>4.0000001</formula>
      <formula>4.9999999</formula>
    </cfRule>
    <cfRule type="cellIs" dxfId="537" priority="18" operator="between">
      <formula>5.0000001</formula>
      <formula>5.9999999</formula>
    </cfRule>
  </conditionalFormatting>
  <dataValidations count="3">
    <dataValidation type="whole" allowBlank="1" showInputMessage="1" showErrorMessage="1" error="Use Insurance Category Codes 1-6 as listed in the Reference Tables tab." sqref="C11:C28" xr:uid="{7E817102-680A-4C2F-982D-55D01E2CB7FE}">
      <formula1>1</formula1>
      <formula2>6</formula2>
    </dataValidation>
    <dataValidation type="whole" allowBlank="1" showInputMessage="1" showErrorMessage="1" error="Use assigned Insurer Code (201-208) as listed in Reference Tables tab." sqref="A11:A28" xr:uid="{59D0683C-5184-4DD0-879A-099148356F02}">
      <formula1>201</formula1>
      <formula2>208</formula2>
    </dataValidation>
    <dataValidation type="decimal" operator="lessThanOrEqual" allowBlank="1" sqref="D11:D28" xr:uid="{BEA9AF23-2756-4F86-B84B-6E5255665824}">
      <formula1>0</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F46C2-7C26-47CD-8DC8-639317C3FB9A}">
  <dimension ref="A1:G48"/>
  <sheetViews>
    <sheetView zoomScale="130" zoomScaleNormal="130" workbookViewId="0">
      <selection activeCell="B7" sqref="B7:C7"/>
    </sheetView>
  </sheetViews>
  <sheetFormatPr defaultRowHeight="14.5" x14ac:dyDescent="0.35"/>
  <cols>
    <col min="1" max="1" width="3.453125" customWidth="1"/>
    <col min="2" max="2" width="12.1796875" customWidth="1"/>
    <col min="3" max="3" width="58" customWidth="1"/>
    <col min="4" max="7" width="26.1796875" customWidth="1"/>
  </cols>
  <sheetData>
    <row r="1" spans="1:5" ht="18.5" x14ac:dyDescent="0.35">
      <c r="A1" s="13" t="s">
        <v>14</v>
      </c>
      <c r="B1" s="13"/>
    </row>
    <row r="2" spans="1:5" x14ac:dyDescent="0.35">
      <c r="A2" s="14" t="s">
        <v>144</v>
      </c>
      <c r="B2" s="14"/>
    </row>
    <row r="3" spans="1:5" x14ac:dyDescent="0.35">
      <c r="A3" s="14"/>
      <c r="B3" s="14"/>
    </row>
    <row r="4" spans="1:5" x14ac:dyDescent="0.35">
      <c r="B4" s="14"/>
    </row>
    <row r="5" spans="1:5" x14ac:dyDescent="0.35">
      <c r="A5" s="18" t="s">
        <v>145</v>
      </c>
      <c r="B5" s="18"/>
    </row>
    <row r="6" spans="1:5" ht="5.15" customHeight="1" x14ac:dyDescent="0.35">
      <c r="A6" s="18"/>
      <c r="B6" s="18"/>
    </row>
    <row r="7" spans="1:5" x14ac:dyDescent="0.35">
      <c r="B7" s="188" t="s">
        <v>146</v>
      </c>
      <c r="C7" s="188"/>
      <c r="D7" s="100"/>
      <c r="E7" s="101"/>
    </row>
    <row r="8" spans="1:5" x14ac:dyDescent="0.35">
      <c r="B8" s="188" t="s">
        <v>147</v>
      </c>
      <c r="C8" s="188"/>
      <c r="D8" s="41" t="s">
        <v>148</v>
      </c>
      <c r="E8" s="19" t="s">
        <v>149</v>
      </c>
    </row>
    <row r="9" spans="1:5" x14ac:dyDescent="0.35">
      <c r="B9" s="187" t="s">
        <v>150</v>
      </c>
      <c r="C9" s="187"/>
      <c r="D9" s="42"/>
      <c r="E9" s="20"/>
    </row>
    <row r="10" spans="1:5" ht="30" customHeight="1" x14ac:dyDescent="0.35">
      <c r="B10" s="187" t="s">
        <v>151</v>
      </c>
      <c r="C10" s="187"/>
      <c r="D10" s="43"/>
      <c r="E10" s="20"/>
    </row>
    <row r="11" spans="1:5" ht="30" customHeight="1" x14ac:dyDescent="0.35">
      <c r="B11" s="187" t="s">
        <v>152</v>
      </c>
      <c r="C11" s="187"/>
      <c r="D11" s="43"/>
      <c r="E11" s="20"/>
    </row>
    <row r="12" spans="1:5" x14ac:dyDescent="0.35">
      <c r="B12" s="187" t="s">
        <v>153</v>
      </c>
      <c r="C12" s="187"/>
      <c r="D12" s="44"/>
      <c r="E12" s="20"/>
    </row>
    <row r="13" spans="1:5" x14ac:dyDescent="0.35">
      <c r="B13" s="187" t="s">
        <v>154</v>
      </c>
      <c r="C13" s="187"/>
      <c r="D13" s="44"/>
      <c r="E13" s="20"/>
    </row>
    <row r="14" spans="1:5" x14ac:dyDescent="0.35">
      <c r="B14" s="187" t="s">
        <v>155</v>
      </c>
      <c r="C14" s="187"/>
      <c r="D14" s="43"/>
      <c r="E14" s="20"/>
    </row>
    <row r="16" spans="1:5" x14ac:dyDescent="0.35">
      <c r="B16" s="189" t="s">
        <v>156</v>
      </c>
      <c r="C16" s="190"/>
      <c r="D16" s="100"/>
      <c r="E16" s="101"/>
    </row>
    <row r="17" spans="2:5" x14ac:dyDescent="0.35">
      <c r="B17" s="191" t="s">
        <v>147</v>
      </c>
      <c r="C17" s="191"/>
      <c r="D17" s="46" t="s">
        <v>148</v>
      </c>
      <c r="E17" s="45" t="s">
        <v>149</v>
      </c>
    </row>
    <row r="18" spans="2:5" ht="30" customHeight="1" x14ac:dyDescent="0.35">
      <c r="B18" s="187" t="s">
        <v>157</v>
      </c>
      <c r="C18" s="187"/>
      <c r="D18" s="44"/>
      <c r="E18" s="20"/>
    </row>
    <row r="19" spans="2:5" ht="30" customHeight="1" x14ac:dyDescent="0.35">
      <c r="B19" s="187" t="s">
        <v>158</v>
      </c>
      <c r="C19" s="187"/>
      <c r="D19" s="44"/>
      <c r="E19" s="20"/>
    </row>
    <row r="20" spans="2:5" x14ac:dyDescent="0.35">
      <c r="B20" s="187" t="s">
        <v>159</v>
      </c>
      <c r="C20" s="187"/>
      <c r="D20" s="44"/>
      <c r="E20" s="20"/>
    </row>
    <row r="21" spans="2:5" ht="30" customHeight="1" x14ac:dyDescent="0.35">
      <c r="B21" s="187" t="s">
        <v>160</v>
      </c>
      <c r="C21" s="187"/>
      <c r="D21" s="44"/>
      <c r="E21" s="20"/>
    </row>
    <row r="22" spans="2:5" ht="30" customHeight="1" x14ac:dyDescent="0.35">
      <c r="B22" s="187" t="s">
        <v>161</v>
      </c>
      <c r="C22" s="187"/>
      <c r="D22" s="44"/>
      <c r="E22" s="20"/>
    </row>
    <row r="23" spans="2:5" ht="30" customHeight="1" x14ac:dyDescent="0.35">
      <c r="B23" s="187" t="s">
        <v>162</v>
      </c>
      <c r="C23" s="187"/>
      <c r="D23" s="44"/>
      <c r="E23" s="20"/>
    </row>
    <row r="24" spans="2:5" ht="30" customHeight="1" x14ac:dyDescent="0.35">
      <c r="B24" s="187" t="s">
        <v>290</v>
      </c>
      <c r="C24" s="187"/>
      <c r="D24" s="44"/>
      <c r="E24" s="20"/>
    </row>
    <row r="25" spans="2:5" ht="30" customHeight="1" x14ac:dyDescent="0.35">
      <c r="B25" s="193" t="s">
        <v>291</v>
      </c>
      <c r="C25" s="194"/>
      <c r="D25" s="44"/>
      <c r="E25" s="20"/>
    </row>
    <row r="26" spans="2:5" ht="30" customHeight="1" x14ac:dyDescent="0.35">
      <c r="B26" s="187" t="s">
        <v>163</v>
      </c>
      <c r="C26" s="187"/>
      <c r="D26" s="44"/>
      <c r="E26" s="20"/>
    </row>
    <row r="27" spans="2:5" x14ac:dyDescent="0.35">
      <c r="B27" s="187" t="s">
        <v>164</v>
      </c>
      <c r="C27" s="187"/>
      <c r="D27" s="44"/>
      <c r="E27" s="20"/>
    </row>
    <row r="28" spans="2:5" x14ac:dyDescent="0.35">
      <c r="B28" s="187" t="s">
        <v>165</v>
      </c>
      <c r="C28" s="187"/>
      <c r="D28" s="43"/>
      <c r="E28" s="20"/>
    </row>
    <row r="29" spans="2:5" x14ac:dyDescent="0.35">
      <c r="B29" s="187" t="s">
        <v>166</v>
      </c>
      <c r="C29" s="187"/>
      <c r="D29" s="43"/>
      <c r="E29" s="20"/>
    </row>
    <row r="30" spans="2:5" ht="43.5" customHeight="1" x14ac:dyDescent="0.35">
      <c r="B30" s="187" t="s">
        <v>167</v>
      </c>
      <c r="C30" s="187"/>
      <c r="D30" s="43"/>
      <c r="E30" s="20"/>
    </row>
    <row r="32" spans="2:5" x14ac:dyDescent="0.35">
      <c r="B32" s="189" t="s">
        <v>168</v>
      </c>
      <c r="C32" s="190"/>
      <c r="D32" s="100"/>
      <c r="E32" s="101"/>
    </row>
    <row r="33" spans="2:7" x14ac:dyDescent="0.35">
      <c r="B33" s="191" t="s">
        <v>147</v>
      </c>
      <c r="C33" s="191"/>
      <c r="D33" s="45" t="s">
        <v>148</v>
      </c>
      <c r="E33" s="45" t="s">
        <v>149</v>
      </c>
    </row>
    <row r="34" spans="2:7" ht="27.65" customHeight="1" x14ac:dyDescent="0.35">
      <c r="B34" s="192" t="s">
        <v>169</v>
      </c>
      <c r="C34" s="192"/>
      <c r="D34" s="20"/>
      <c r="E34" s="20"/>
    </row>
    <row r="35" spans="2:7" ht="30" customHeight="1" x14ac:dyDescent="0.35">
      <c r="B35" s="192" t="s">
        <v>170</v>
      </c>
      <c r="C35" s="192"/>
      <c r="D35" s="20"/>
      <c r="E35" s="20"/>
    </row>
    <row r="36" spans="2:7" ht="45" customHeight="1" x14ac:dyDescent="0.35">
      <c r="B36" s="192" t="s">
        <v>171</v>
      </c>
      <c r="C36" s="192"/>
      <c r="D36" s="20"/>
      <c r="E36" s="20"/>
    </row>
    <row r="37" spans="2:7" ht="29.5" customHeight="1" x14ac:dyDescent="0.35">
      <c r="B37" s="192" t="s">
        <v>172</v>
      </c>
      <c r="C37" s="192"/>
      <c r="D37" s="20"/>
      <c r="E37" s="20"/>
    </row>
    <row r="38" spans="2:7" ht="47.15" customHeight="1" x14ac:dyDescent="0.35">
      <c r="B38" s="187" t="s">
        <v>173</v>
      </c>
      <c r="C38" s="187"/>
      <c r="D38" s="20"/>
      <c r="E38" s="20"/>
    </row>
    <row r="39" spans="2:7" ht="30" customHeight="1" x14ac:dyDescent="0.35">
      <c r="B39" s="187" t="s">
        <v>174</v>
      </c>
      <c r="C39" s="187"/>
      <c r="D39" s="20"/>
      <c r="E39" s="20"/>
    </row>
    <row r="41" spans="2:7" ht="14.5" customHeight="1" x14ac:dyDescent="0.35">
      <c r="B41" s="189" t="s">
        <v>175</v>
      </c>
      <c r="C41" s="190"/>
      <c r="D41" s="190"/>
      <c r="E41" s="190"/>
      <c r="F41" s="190"/>
      <c r="G41" s="196"/>
    </row>
    <row r="42" spans="2:7" x14ac:dyDescent="0.35">
      <c r="B42" s="188" t="s">
        <v>147</v>
      </c>
      <c r="C42" s="188"/>
      <c r="D42" s="182" t="s">
        <v>176</v>
      </c>
      <c r="E42" s="182" t="s">
        <v>177</v>
      </c>
      <c r="F42" s="182" t="s">
        <v>360</v>
      </c>
      <c r="G42" s="182" t="s">
        <v>361</v>
      </c>
    </row>
    <row r="43" spans="2:7" x14ac:dyDescent="0.35">
      <c r="B43" s="192" t="s">
        <v>178</v>
      </c>
      <c r="C43" s="192"/>
      <c r="D43" s="20"/>
      <c r="E43" s="20"/>
      <c r="F43" s="20"/>
      <c r="G43" s="20"/>
    </row>
    <row r="44" spans="2:7" ht="15" customHeight="1" x14ac:dyDescent="0.35">
      <c r="B44" s="195" t="s">
        <v>179</v>
      </c>
      <c r="C44" s="195"/>
      <c r="D44" s="21"/>
      <c r="E44" s="21"/>
      <c r="F44" s="21"/>
      <c r="G44" s="21"/>
    </row>
    <row r="46" spans="2:7" x14ac:dyDescent="0.35">
      <c r="B46" s="189" t="s">
        <v>180</v>
      </c>
      <c r="C46" s="190"/>
      <c r="D46" s="190"/>
      <c r="E46" s="196"/>
    </row>
    <row r="47" spans="2:7" ht="29" x14ac:dyDescent="0.35">
      <c r="B47" s="188" t="s">
        <v>147</v>
      </c>
      <c r="C47" s="188"/>
      <c r="D47" s="182" t="s">
        <v>181</v>
      </c>
      <c r="E47" s="182" t="s">
        <v>149</v>
      </c>
    </row>
    <row r="48" spans="2:7" ht="27.65" customHeight="1" x14ac:dyDescent="0.35">
      <c r="B48" s="192" t="s">
        <v>182</v>
      </c>
      <c r="C48" s="192"/>
      <c r="D48" s="20"/>
      <c r="E48" s="20"/>
    </row>
  </sheetData>
  <mergeCells count="38">
    <mergeCell ref="B48:C48"/>
    <mergeCell ref="B35:C35"/>
    <mergeCell ref="B36:C36"/>
    <mergeCell ref="B37:C37"/>
    <mergeCell ref="B38:C38"/>
    <mergeCell ref="B39:C39"/>
    <mergeCell ref="B42:C42"/>
    <mergeCell ref="B43:C43"/>
    <mergeCell ref="B44:C44"/>
    <mergeCell ref="B46:E46"/>
    <mergeCell ref="B47:C47"/>
    <mergeCell ref="B41:G41"/>
    <mergeCell ref="B34:C34"/>
    <mergeCell ref="B20:C20"/>
    <mergeCell ref="B21:C21"/>
    <mergeCell ref="B22:C22"/>
    <mergeCell ref="B23:C23"/>
    <mergeCell ref="B26:C26"/>
    <mergeCell ref="B27:C27"/>
    <mergeCell ref="B28:C28"/>
    <mergeCell ref="B29:C29"/>
    <mergeCell ref="B30:C30"/>
    <mergeCell ref="B32:C32"/>
    <mergeCell ref="B33:C33"/>
    <mergeCell ref="B24:C24"/>
    <mergeCell ref="B25:C25"/>
    <mergeCell ref="B19:C19"/>
    <mergeCell ref="B7:C7"/>
    <mergeCell ref="B8:C8"/>
    <mergeCell ref="B9:C9"/>
    <mergeCell ref="B10:C10"/>
    <mergeCell ref="B11:C11"/>
    <mergeCell ref="B12:C12"/>
    <mergeCell ref="B13:C13"/>
    <mergeCell ref="B14:C14"/>
    <mergeCell ref="B16:C16"/>
    <mergeCell ref="B17:C17"/>
    <mergeCell ref="B18:C18"/>
  </mergeCells>
  <dataValidations count="2">
    <dataValidation type="list" allowBlank="1" showInputMessage="1" showErrorMessage="1" error="Please select an option from the drop down list." prompt="Please select an option from the drop down list." sqref="D12:D13 D43:G43 D48:E48 D34:D39 D27:D30 D18:D23" xr:uid="{F0E86346-5214-4BA0-B5CB-70440A41ED34}">
      <formula1>"Yes, No"</formula1>
    </dataValidation>
    <dataValidation allowBlank="1" showErrorMessage="1" error="Please select an option from the drop down list." sqref="D24:D26" xr:uid="{8D88B6BE-1207-4678-AB0C-6B6F1BC4689B}"/>
  </dataValidation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26B57-A8B4-4F73-96CB-A0AFC41CDF40}">
  <dimension ref="A1:AO61"/>
  <sheetViews>
    <sheetView zoomScale="94" zoomScaleNormal="100" workbookViewId="0">
      <pane xSplit="1" topLeftCell="B1" activePane="topRight" state="frozen"/>
      <selection pane="topRight"/>
    </sheetView>
  </sheetViews>
  <sheetFormatPr defaultRowHeight="14.5" x14ac:dyDescent="0.35"/>
  <cols>
    <col min="1" max="1" width="33.54296875" customWidth="1"/>
    <col min="2" max="8" width="19.26953125" customWidth="1"/>
    <col min="9" max="16" width="19.1796875" customWidth="1"/>
    <col min="17" max="31" width="19.26953125" customWidth="1"/>
    <col min="32" max="41" width="21.26953125" customWidth="1"/>
  </cols>
  <sheetData>
    <row r="1" spans="1:17" ht="18.5" x14ac:dyDescent="0.45">
      <c r="A1" s="81" t="s">
        <v>183</v>
      </c>
    </row>
    <row r="2" spans="1:17" x14ac:dyDescent="0.35">
      <c r="A2" t="s">
        <v>184</v>
      </c>
    </row>
    <row r="4" spans="1:17" x14ac:dyDescent="0.35">
      <c r="A4" s="80" t="s">
        <v>185</v>
      </c>
      <c r="B4" s="79">
        <f>'2. TME'!A11</f>
        <v>0</v>
      </c>
    </row>
    <row r="6" spans="1:17" x14ac:dyDescent="0.35">
      <c r="A6" s="71" t="s">
        <v>278</v>
      </c>
    </row>
    <row r="7" spans="1:17" ht="15" thickBot="1" x14ac:dyDescent="0.4">
      <c r="A7" s="70" t="s">
        <v>186</v>
      </c>
    </row>
    <row r="8" spans="1:17" x14ac:dyDescent="0.35">
      <c r="A8" s="205" t="s">
        <v>187</v>
      </c>
      <c r="B8" s="208">
        <v>2018</v>
      </c>
      <c r="C8" s="209"/>
      <c r="D8" s="209"/>
      <c r="E8" s="210"/>
      <c r="F8" s="208">
        <v>2019</v>
      </c>
      <c r="G8" s="209"/>
      <c r="H8" s="209"/>
      <c r="I8" s="210"/>
      <c r="J8" s="208">
        <v>2020</v>
      </c>
      <c r="K8" s="209"/>
      <c r="L8" s="209"/>
      <c r="M8" s="210"/>
      <c r="N8" s="208">
        <v>2021</v>
      </c>
      <c r="O8" s="209"/>
      <c r="P8" s="209"/>
      <c r="Q8" s="210"/>
    </row>
    <row r="9" spans="1:17" x14ac:dyDescent="0.35">
      <c r="A9" s="205"/>
      <c r="B9" s="110" t="s">
        <v>188</v>
      </c>
      <c r="C9" s="73" t="s">
        <v>189</v>
      </c>
      <c r="D9" s="73" t="s">
        <v>190</v>
      </c>
      <c r="E9" s="111" t="s">
        <v>191</v>
      </c>
      <c r="F9" s="110" t="s">
        <v>188</v>
      </c>
      <c r="G9" s="73" t="s">
        <v>189</v>
      </c>
      <c r="H9" s="73" t="s">
        <v>190</v>
      </c>
      <c r="I9" s="111" t="s">
        <v>191</v>
      </c>
      <c r="J9" s="110" t="s">
        <v>188</v>
      </c>
      <c r="K9" s="73" t="s">
        <v>189</v>
      </c>
      <c r="L9" s="73" t="s">
        <v>190</v>
      </c>
      <c r="M9" s="111" t="s">
        <v>191</v>
      </c>
      <c r="N9" s="110" t="s">
        <v>188</v>
      </c>
      <c r="O9" s="73" t="s">
        <v>189</v>
      </c>
      <c r="P9" s="73" t="s">
        <v>190</v>
      </c>
      <c r="Q9" s="111" t="s">
        <v>191</v>
      </c>
    </row>
    <row r="10" spans="1:17" x14ac:dyDescent="0.35">
      <c r="A10" s="90" t="s">
        <v>192</v>
      </c>
      <c r="B10" s="159">
        <f>SUM(B20:B25)</f>
        <v>0</v>
      </c>
      <c r="C10" s="141">
        <f>SUM(LOB_ENROLL[[#All],[Year 2018 Member Months]])</f>
        <v>0</v>
      </c>
      <c r="D10" s="47" t="str">
        <f>IF(B10=C10,"Yes","No")</f>
        <v>Yes</v>
      </c>
      <c r="E10" s="161">
        <f>ABS(B10-C10)</f>
        <v>0</v>
      </c>
      <c r="F10" s="159">
        <f>SUM(C20:C25)</f>
        <v>0</v>
      </c>
      <c r="G10" s="141">
        <f>SUM(LOB_ENROLL[[#All],[Year 2019 Member Months]])</f>
        <v>0</v>
      </c>
      <c r="H10" s="47" t="str">
        <f t="shared" ref="H10:H14" si="0">IF(F10=G10,"Yes","No")</f>
        <v>Yes</v>
      </c>
      <c r="I10" s="161">
        <f t="shared" ref="I10:I14" si="1">ABS(F10-G10)</f>
        <v>0</v>
      </c>
      <c r="J10" s="159">
        <f>SUM(D20:D25)</f>
        <v>0</v>
      </c>
      <c r="K10" s="141">
        <f>SUM(LOB_ENROLL[[#All],[Year 2020 Member Months]])</f>
        <v>0</v>
      </c>
      <c r="L10" s="47" t="str">
        <f t="shared" ref="L10:L14" si="2">IF(J10=K10,"Yes","No")</f>
        <v>Yes</v>
      </c>
      <c r="M10" s="161">
        <f t="shared" ref="M10:M14" si="3">ABS(J10-K10)</f>
        <v>0</v>
      </c>
      <c r="N10" s="159">
        <f>SUM(E20:E25)</f>
        <v>0</v>
      </c>
      <c r="O10" s="141">
        <f>SUM(LOB_ENROLL[[#All],[Year 2021 Member Months]])</f>
        <v>0</v>
      </c>
      <c r="P10" s="47" t="str">
        <f t="shared" ref="P10:P14" si="4">IF(N10=O10,"Yes","No")</f>
        <v>Yes</v>
      </c>
      <c r="Q10" s="161">
        <f t="shared" ref="Q10:Q14" si="5">ABS(N10-O10)</f>
        <v>0</v>
      </c>
    </row>
    <row r="11" spans="1:17" x14ac:dyDescent="0.35">
      <c r="A11" s="90" t="s">
        <v>193</v>
      </c>
      <c r="B11" s="159">
        <f>B20</f>
        <v>0</v>
      </c>
      <c r="C11" s="141">
        <f>SUMIF(LOB_ENROLL[[#All],[Line of Business Category]],6,LOB_ENROLL[[#All],[Year 2018 Member Months]])</f>
        <v>0</v>
      </c>
      <c r="D11" s="47" t="str">
        <f t="shared" ref="D11:D14" si="6">IF(B11=C11,"Yes","No")</f>
        <v>Yes</v>
      </c>
      <c r="E11" s="161">
        <f t="shared" ref="E11:E14" si="7">ABS(B11-C11)</f>
        <v>0</v>
      </c>
      <c r="F11" s="159">
        <f>C20</f>
        <v>0</v>
      </c>
      <c r="G11" s="141">
        <f>SUMIF(LOB_ENROLL[[#All],[Line of Business Category]],6,LOB_ENROLL[[#All],[Year 2019 Member Months]])</f>
        <v>0</v>
      </c>
      <c r="H11" s="47" t="str">
        <f t="shared" si="0"/>
        <v>Yes</v>
      </c>
      <c r="I11" s="161">
        <f t="shared" si="1"/>
        <v>0</v>
      </c>
      <c r="J11" s="159">
        <f>D20</f>
        <v>0</v>
      </c>
      <c r="K11" s="141">
        <f>SUMIF(LOB_ENROLL[[#All],[Line of Business Category]],6,LOB_ENROLL[[#All],[Year 2020 Member Months]])</f>
        <v>0</v>
      </c>
      <c r="L11" s="47" t="str">
        <f t="shared" si="2"/>
        <v>Yes</v>
      </c>
      <c r="M11" s="161">
        <f t="shared" si="3"/>
        <v>0</v>
      </c>
      <c r="N11" s="159">
        <f>E20</f>
        <v>0</v>
      </c>
      <c r="O11" s="141">
        <f>SUMIF(LOB_ENROLL[[#All],[Line of Business Category]],6,LOB_ENROLL[[#All],[Year 2021 Member Months]])</f>
        <v>0</v>
      </c>
      <c r="P11" s="47" t="str">
        <f t="shared" si="4"/>
        <v>Yes</v>
      </c>
      <c r="Q11" s="161">
        <f t="shared" si="5"/>
        <v>0</v>
      </c>
    </row>
    <row r="12" spans="1:17" x14ac:dyDescent="0.35">
      <c r="A12" s="90" t="s">
        <v>194</v>
      </c>
      <c r="B12" s="159">
        <f>B21</f>
        <v>0</v>
      </c>
      <c r="C12" s="141">
        <f>SUMIF(LOB_ENROLL[[#All],[Line of Business Category]],7,LOB_ENROLL[[#All],[Year 2018 Member Months]])</f>
        <v>0</v>
      </c>
      <c r="D12" s="47" t="str">
        <f t="shared" si="6"/>
        <v>Yes</v>
      </c>
      <c r="E12" s="161">
        <f t="shared" si="7"/>
        <v>0</v>
      </c>
      <c r="F12" s="159">
        <f>C21</f>
        <v>0</v>
      </c>
      <c r="G12" s="141">
        <f>SUMIF(LOB_ENROLL[[#All],[Line of Business Category]],7,LOB_ENROLL[[#All],[Year 2019 Member Months]])</f>
        <v>0</v>
      </c>
      <c r="H12" s="47" t="str">
        <f t="shared" si="0"/>
        <v>Yes</v>
      </c>
      <c r="I12" s="161">
        <f t="shared" si="1"/>
        <v>0</v>
      </c>
      <c r="J12" s="159">
        <f>D21</f>
        <v>0</v>
      </c>
      <c r="K12" s="141">
        <f>SUMIF(LOB_ENROLL[[#All],[Line of Business Category]],7,LOB_ENROLL[[#All],[Year 2020 Member Months]])</f>
        <v>0</v>
      </c>
      <c r="L12" s="47" t="str">
        <f t="shared" si="2"/>
        <v>Yes</v>
      </c>
      <c r="M12" s="161">
        <f t="shared" si="3"/>
        <v>0</v>
      </c>
      <c r="N12" s="159">
        <f>E21</f>
        <v>0</v>
      </c>
      <c r="O12" s="141">
        <f>SUMIF(LOB_ENROLL[[#All],[Line of Business Category]],7,LOB_ENROLL[[#All],[Year 2021 Member Months]])</f>
        <v>0</v>
      </c>
      <c r="P12" s="47" t="str">
        <f t="shared" si="4"/>
        <v>Yes</v>
      </c>
      <c r="Q12" s="161">
        <f t="shared" si="5"/>
        <v>0</v>
      </c>
    </row>
    <row r="13" spans="1:17" x14ac:dyDescent="0.35">
      <c r="A13" s="90" t="s">
        <v>195</v>
      </c>
      <c r="B13" s="159">
        <f>SUM(B24:B25)</f>
        <v>0</v>
      </c>
      <c r="C13" s="141">
        <f>SUMIF(LOB_ENROLL[[#All],[Line of Business Category]],8,LOB_ENROLL[[#All],[Year 2018 Member Months]])</f>
        <v>0</v>
      </c>
      <c r="D13" s="47" t="str">
        <f t="shared" si="6"/>
        <v>Yes</v>
      </c>
      <c r="E13" s="161">
        <f t="shared" si="7"/>
        <v>0</v>
      </c>
      <c r="F13" s="159">
        <f>SUM(C24:C25)</f>
        <v>0</v>
      </c>
      <c r="G13" s="141">
        <f>SUMIF(LOB_ENROLL[[#All],[Line of Business Category]],8,LOB_ENROLL[[#All],[Year 2019 Member Months]])</f>
        <v>0</v>
      </c>
      <c r="H13" s="47" t="str">
        <f t="shared" si="0"/>
        <v>Yes</v>
      </c>
      <c r="I13" s="161">
        <f t="shared" si="1"/>
        <v>0</v>
      </c>
      <c r="J13" s="159">
        <f>SUM(D24:D25)</f>
        <v>0</v>
      </c>
      <c r="K13" s="141">
        <f>SUMIF(LOB_ENROLL[[#All],[Line of Business Category]],8,LOB_ENROLL[[#All],[Year 2020 Member Months]])</f>
        <v>0</v>
      </c>
      <c r="L13" s="47" t="str">
        <f t="shared" si="2"/>
        <v>Yes</v>
      </c>
      <c r="M13" s="161">
        <f t="shared" si="3"/>
        <v>0</v>
      </c>
      <c r="N13" s="159">
        <f>SUM(E24:E25)</f>
        <v>0</v>
      </c>
      <c r="O13" s="141">
        <f>SUMIF(LOB_ENROLL[[#All],[Line of Business Category]],8,LOB_ENROLL[[#All],[Year 2021 Member Months]])</f>
        <v>0</v>
      </c>
      <c r="P13" s="47" t="str">
        <f t="shared" si="4"/>
        <v>Yes</v>
      </c>
      <c r="Q13" s="161">
        <f t="shared" si="5"/>
        <v>0</v>
      </c>
    </row>
    <row r="14" spans="1:17" ht="15" thickBot="1" x14ac:dyDescent="0.4">
      <c r="A14" s="90" t="s">
        <v>196</v>
      </c>
      <c r="B14" s="160">
        <f>SUM(B22:B23)</f>
        <v>0</v>
      </c>
      <c r="C14" s="158">
        <f>SUMIF(LOB_ENROLL[[#All],[Line of Business Category]],1,LOB_ENROLL[[#All],[Year 2018 Member Months]])+SUMIF(LOB_ENROLL[[#All],[Line of Business Category]],2,LOB_ENROLL[[#All],[Year 2018 Member Months]])+SUMIF(LOB_ENROLL[[#All],[Line of Business Category]],3,LOB_ENROLL[[#All],[Year 2018 Member Months]])+SUMIF(LOB_ENROLL[[#All],[Line of Business Category]],4,LOB_ENROLL[[#All],[Year 2018 Member Months]])+SUMIF(LOB_ENROLL[[#All],[Line of Business Category]],8,LOB_ENROLL[[#All],[Year 2018 Member Months]])</f>
        <v>0</v>
      </c>
      <c r="D14" s="115" t="str">
        <f t="shared" si="6"/>
        <v>Yes</v>
      </c>
      <c r="E14" s="162">
        <f t="shared" si="7"/>
        <v>0</v>
      </c>
      <c r="F14" s="160">
        <f>SUM(C22:C23)</f>
        <v>0</v>
      </c>
      <c r="G14" s="158">
        <f>SUMIF(LOB_ENROLL[[#All],[Line of Business Category]],1,LOB_ENROLL[[#All],[Year 2019 Member Months]])+SUMIF(LOB_ENROLL[[#All],[Line of Business Category]],2,LOB_ENROLL[[#All],[Year 2019 Member Months]])+SUMIF(LOB_ENROLL[[#All],[Line of Business Category]],3,LOB_ENROLL[[#All],[Year 2019 Member Months]])+SUMIF(LOB_ENROLL[[#All],[Line of Business Category]],4,LOB_ENROLL[[#All],[Year 2019 Member Months]])+SUMIF(LOB_ENROLL[[#All],[Line of Business Category]],8,LOB_ENROLL[[#All],[Year 2019 Member Months]])</f>
        <v>0</v>
      </c>
      <c r="H14" s="115" t="str">
        <f t="shared" si="0"/>
        <v>Yes</v>
      </c>
      <c r="I14" s="162">
        <f t="shared" si="1"/>
        <v>0</v>
      </c>
      <c r="J14" s="160">
        <f>SUM(D22:D23)</f>
        <v>0</v>
      </c>
      <c r="K14" s="158">
        <f>SUMIF(LOB_ENROLL[[#All],[Line of Business Category]],1,LOB_ENROLL[[#All],[Year 2020 Member Months]])+SUMIF(LOB_ENROLL[[#All],[Line of Business Category]],2,LOB_ENROLL[[#All],[Year 2020 Member Months]])+SUMIF(LOB_ENROLL[[#All],[Line of Business Category]],3,LOB_ENROLL[[#All],[Year 2020 Member Months]])+SUMIF(LOB_ENROLL[[#All],[Line of Business Category]],4,LOB_ENROLL[[#All],[Year 2020 Member Months]])+SUMIF(LOB_ENROLL[[#All],[Line of Business Category]],8,LOB_ENROLL[[#All],[Year 2020 Member Months]])</f>
        <v>0</v>
      </c>
      <c r="L14" s="115" t="str">
        <f t="shared" si="2"/>
        <v>Yes</v>
      </c>
      <c r="M14" s="162">
        <f t="shared" si="3"/>
        <v>0</v>
      </c>
      <c r="N14" s="160">
        <f>SUM(E22:E23)</f>
        <v>0</v>
      </c>
      <c r="O14" s="158">
        <f>SUMIF(LOB_ENROLL[[#All],[Line of Business Category]],1,LOB_ENROLL[[#All],[Year 2021 Member Months]])+SUMIF(LOB_ENROLL[[#All],[Line of Business Category]],2,LOB_ENROLL[[#All],[Year 2021 Member Months]])+SUMIF(LOB_ENROLL[[#All],[Line of Business Category]],3,LOB_ENROLL[[#All],[Year 2021 Member Months]])+SUMIF(LOB_ENROLL[[#All],[Line of Business Category]],4,LOB_ENROLL[[#All],[Year 2021 Member Months]])+SUMIF(LOB_ENROLL[[#All],[Line of Business Category]],8,LOB_ENROLL[[#All],[Year 2021 Member Months]])</f>
        <v>0</v>
      </c>
      <c r="P14" s="115" t="str">
        <f t="shared" si="4"/>
        <v>Yes</v>
      </c>
      <c r="Q14" s="162">
        <f t="shared" si="5"/>
        <v>0</v>
      </c>
    </row>
    <row r="16" spans="1:17" x14ac:dyDescent="0.35">
      <c r="A16" s="37"/>
    </row>
    <row r="17" spans="1:33" ht="15" thickBot="1" x14ac:dyDescent="0.4">
      <c r="A17" s="76" t="s">
        <v>279</v>
      </c>
      <c r="D17" s="76"/>
    </row>
    <row r="18" spans="1:33" x14ac:dyDescent="0.35">
      <c r="A18" s="206" t="s">
        <v>20</v>
      </c>
      <c r="B18" s="116">
        <v>2018</v>
      </c>
      <c r="C18" s="116">
        <v>2019</v>
      </c>
      <c r="D18" s="116">
        <v>2020</v>
      </c>
      <c r="E18" s="116">
        <v>2021</v>
      </c>
    </row>
    <row r="19" spans="1:33" ht="29" x14ac:dyDescent="0.35">
      <c r="A19" s="206"/>
      <c r="B19" s="117" t="s">
        <v>273</v>
      </c>
      <c r="C19" s="117" t="s">
        <v>273</v>
      </c>
      <c r="D19" s="117" t="s">
        <v>273</v>
      </c>
      <c r="E19" s="117" t="s">
        <v>273</v>
      </c>
    </row>
    <row r="20" spans="1:33" x14ac:dyDescent="0.35">
      <c r="A20" s="90">
        <v>1</v>
      </c>
      <c r="B20" s="179">
        <f>SUMIFS(TME[[#All],[Member Months]],TME[[#All],[Reporting Year]],2018,TME[[#All],[Insurance Category Code]],A20)</f>
        <v>0</v>
      </c>
      <c r="C20" s="179">
        <f>SUMIFS(TME[[#All],[Member Months]],TME[[#All],[Reporting Year]],2019,TME[[#All],[Insurance Category Code]],A20)</f>
        <v>0</v>
      </c>
      <c r="D20" s="179">
        <f>SUMIFS(TME[[#All],[Member Months]],TME[[#All],[Reporting Year]],2020,TME[[#All],[Insurance Category Code]],A20)</f>
        <v>0</v>
      </c>
      <c r="E20" s="179">
        <f>SUMIFS(TME[[#All],[Member Months]],TME[[#All],[Reporting Year]],2021,TME[[#All],[Insurance Category Code]],A20)</f>
        <v>0</v>
      </c>
    </row>
    <row r="21" spans="1:33" x14ac:dyDescent="0.35">
      <c r="A21" s="90">
        <v>2</v>
      </c>
      <c r="B21" s="179">
        <f>SUMIFS(TME[[#All],[Member Months]],TME[[#All],[Reporting Year]],2018,TME[[#All],[Insurance Category Code]],A21)</f>
        <v>0</v>
      </c>
      <c r="C21" s="179">
        <f>SUMIFS(TME[[#All],[Member Months]],TME[[#All],[Reporting Year]],2019,TME[[#All],[Insurance Category Code]],A21)</f>
        <v>0</v>
      </c>
      <c r="D21" s="179">
        <f>SUMIFS(TME[[#All],[Member Months]],TME[[#All],[Reporting Year]],2020,TME[[#All],[Insurance Category Code]],A21)</f>
        <v>0</v>
      </c>
      <c r="E21" s="179">
        <f>SUMIFS(TME[[#All],[Member Months]],TME[[#All],[Reporting Year]],2021,TME[[#All],[Insurance Category Code]],A21)</f>
        <v>0</v>
      </c>
    </row>
    <row r="22" spans="1:33" x14ac:dyDescent="0.35">
      <c r="A22" s="90">
        <v>3</v>
      </c>
      <c r="B22" s="179">
        <f>SUMIFS(TME[[#All],[Member Months]],TME[[#All],[Reporting Year]],2018,TME[[#All],[Insurance Category Code]],A22)</f>
        <v>0</v>
      </c>
      <c r="C22" s="179">
        <f>SUMIFS(TME[[#All],[Member Months]],TME[[#All],[Reporting Year]],2019,TME[[#All],[Insurance Category Code]],A22)</f>
        <v>0</v>
      </c>
      <c r="D22" s="179">
        <f>SUMIFS(TME[[#All],[Member Months]],TME[[#All],[Reporting Year]],2020,TME[[#All],[Insurance Category Code]],A22)</f>
        <v>0</v>
      </c>
      <c r="E22" s="179">
        <f>SUMIFS(TME[[#All],[Member Months]],TME[[#All],[Reporting Year]],2021,TME[[#All],[Insurance Category Code]],A22)</f>
        <v>0</v>
      </c>
    </row>
    <row r="23" spans="1:33" x14ac:dyDescent="0.35">
      <c r="A23" s="90">
        <v>4</v>
      </c>
      <c r="B23" s="179">
        <f>SUMIFS(TME[[#All],[Member Months]],TME[[#All],[Reporting Year]],2018,TME[[#All],[Insurance Category Code]],A23)</f>
        <v>0</v>
      </c>
      <c r="C23" s="179">
        <f>SUMIFS(TME[[#All],[Member Months]],TME[[#All],[Reporting Year]],2019,TME[[#All],[Insurance Category Code]],A23)</f>
        <v>0</v>
      </c>
      <c r="D23" s="179">
        <f>SUMIFS(TME[[#All],[Member Months]],TME[[#All],[Reporting Year]],2020,TME[[#All],[Insurance Category Code]],A23)</f>
        <v>0</v>
      </c>
      <c r="E23" s="179">
        <f>SUMIFS(TME[[#All],[Member Months]],TME[[#All],[Reporting Year]],2021,TME[[#All],[Insurance Category Code]],A23)</f>
        <v>0</v>
      </c>
    </row>
    <row r="24" spans="1:33" x14ac:dyDescent="0.35">
      <c r="A24" s="90">
        <v>5</v>
      </c>
      <c r="B24" s="179">
        <f>SUMIFS(TME[[#All],[Member Months]],TME[[#All],[Reporting Year]],2018,TME[[#All],[Insurance Category Code]],A24)</f>
        <v>0</v>
      </c>
      <c r="C24" s="179">
        <f>SUMIFS(TME[[#All],[Member Months]],TME[[#All],[Reporting Year]],2019,TME[[#All],[Insurance Category Code]],A24)</f>
        <v>0</v>
      </c>
      <c r="D24" s="179">
        <f>SUMIFS(TME[[#All],[Member Months]],TME[[#All],[Reporting Year]],2020,TME[[#All],[Insurance Category Code]],A24)</f>
        <v>0</v>
      </c>
      <c r="E24" s="179">
        <f>SUMIFS(TME[[#All],[Member Months]],TME[[#All],[Reporting Year]],2021,TME[[#All],[Insurance Category Code]],A24)</f>
        <v>0</v>
      </c>
    </row>
    <row r="25" spans="1:33" ht="15" thickBot="1" x14ac:dyDescent="0.4">
      <c r="A25" s="90">
        <v>6</v>
      </c>
      <c r="B25" s="180">
        <f>SUMIFS(TME[[#All],[Member Months]],TME[[#All],[Reporting Year]],2018,TME[[#All],[Insurance Category Code]],A25)</f>
        <v>0</v>
      </c>
      <c r="C25" s="180">
        <f>SUMIFS(TME[[#All],[Member Months]],TME[[#All],[Reporting Year]],2019,TME[[#All],[Insurance Category Code]],A25)</f>
        <v>0</v>
      </c>
      <c r="D25" s="180">
        <f>SUMIFS(TME[[#All],[Member Months]],TME[[#All],[Reporting Year]],2020,TME[[#All],[Insurance Category Code]],A25)</f>
        <v>0</v>
      </c>
      <c r="E25" s="180">
        <f>SUMIFS(TME[[#All],[Member Months]],TME[[#All],[Reporting Year]],2021,TME[[#All],[Insurance Category Code]],A25)</f>
        <v>0</v>
      </c>
    </row>
    <row r="28" spans="1:33" x14ac:dyDescent="0.35">
      <c r="A28" s="71" t="s">
        <v>280</v>
      </c>
    </row>
    <row r="29" spans="1:33" ht="15" thickBot="1" x14ac:dyDescent="0.4">
      <c r="A29" s="70" t="s">
        <v>197</v>
      </c>
    </row>
    <row r="30" spans="1:33" x14ac:dyDescent="0.35">
      <c r="A30" s="205" t="s">
        <v>187</v>
      </c>
      <c r="B30" s="202">
        <v>2018</v>
      </c>
      <c r="C30" s="203"/>
      <c r="D30" s="203"/>
      <c r="E30" s="203"/>
      <c r="F30" s="203"/>
      <c r="G30" s="203"/>
      <c r="H30" s="203"/>
      <c r="I30" s="204"/>
      <c r="J30" s="202">
        <v>2019</v>
      </c>
      <c r="K30" s="203"/>
      <c r="L30" s="203"/>
      <c r="M30" s="203"/>
      <c r="N30" s="203"/>
      <c r="O30" s="203"/>
      <c r="P30" s="203"/>
      <c r="Q30" s="204"/>
      <c r="R30" s="202">
        <v>2020</v>
      </c>
      <c r="S30" s="203"/>
      <c r="T30" s="203"/>
      <c r="U30" s="203"/>
      <c r="V30" s="203"/>
      <c r="W30" s="203"/>
      <c r="X30" s="203"/>
      <c r="Y30" s="204"/>
      <c r="Z30" s="202">
        <v>2021</v>
      </c>
      <c r="AA30" s="203"/>
      <c r="AB30" s="203"/>
      <c r="AC30" s="203"/>
      <c r="AD30" s="203"/>
      <c r="AE30" s="203"/>
      <c r="AF30" s="203"/>
      <c r="AG30" s="204"/>
    </row>
    <row r="31" spans="1:33" x14ac:dyDescent="0.35">
      <c r="A31" s="205"/>
      <c r="B31" s="211" t="s">
        <v>198</v>
      </c>
      <c r="C31" s="212"/>
      <c r="D31" s="212"/>
      <c r="E31" s="212"/>
      <c r="F31" s="212" t="s">
        <v>90</v>
      </c>
      <c r="G31" s="212"/>
      <c r="H31" s="212"/>
      <c r="I31" s="213"/>
      <c r="J31" s="211" t="s">
        <v>198</v>
      </c>
      <c r="K31" s="212"/>
      <c r="L31" s="212"/>
      <c r="M31" s="212"/>
      <c r="N31" s="212" t="s">
        <v>90</v>
      </c>
      <c r="O31" s="212"/>
      <c r="P31" s="212"/>
      <c r="Q31" s="213"/>
      <c r="R31" s="211" t="s">
        <v>198</v>
      </c>
      <c r="S31" s="212"/>
      <c r="T31" s="212"/>
      <c r="U31" s="212"/>
      <c r="V31" s="212" t="s">
        <v>90</v>
      </c>
      <c r="W31" s="212"/>
      <c r="X31" s="212"/>
      <c r="Y31" s="213"/>
      <c r="Z31" s="211" t="s">
        <v>198</v>
      </c>
      <c r="AA31" s="212"/>
      <c r="AB31" s="212"/>
      <c r="AC31" s="212"/>
      <c r="AD31" s="212" t="s">
        <v>90</v>
      </c>
      <c r="AE31" s="212"/>
      <c r="AF31" s="212"/>
      <c r="AG31" s="213"/>
    </row>
    <row r="32" spans="1:33" x14ac:dyDescent="0.35">
      <c r="A32" s="205"/>
      <c r="B32" s="110" t="s">
        <v>188</v>
      </c>
      <c r="C32" s="73" t="s">
        <v>199</v>
      </c>
      <c r="D32" s="73" t="s">
        <v>190</v>
      </c>
      <c r="E32" s="73" t="s">
        <v>191</v>
      </c>
      <c r="F32" s="73" t="s">
        <v>188</v>
      </c>
      <c r="G32" s="73" t="s">
        <v>199</v>
      </c>
      <c r="H32" s="73" t="s">
        <v>190</v>
      </c>
      <c r="I32" s="111" t="s">
        <v>191</v>
      </c>
      <c r="J32" s="110" t="s">
        <v>188</v>
      </c>
      <c r="K32" s="73" t="s">
        <v>199</v>
      </c>
      <c r="L32" s="73" t="s">
        <v>190</v>
      </c>
      <c r="M32" s="73" t="s">
        <v>191</v>
      </c>
      <c r="N32" s="73" t="s">
        <v>188</v>
      </c>
      <c r="O32" s="73" t="s">
        <v>199</v>
      </c>
      <c r="P32" s="73" t="s">
        <v>190</v>
      </c>
      <c r="Q32" s="111" t="s">
        <v>191</v>
      </c>
      <c r="R32" s="110" t="s">
        <v>188</v>
      </c>
      <c r="S32" s="73" t="s">
        <v>199</v>
      </c>
      <c r="T32" s="73" t="s">
        <v>190</v>
      </c>
      <c r="U32" s="73" t="s">
        <v>191</v>
      </c>
      <c r="V32" s="73" t="s">
        <v>188</v>
      </c>
      <c r="W32" s="73" t="s">
        <v>199</v>
      </c>
      <c r="X32" s="73" t="s">
        <v>190</v>
      </c>
      <c r="Y32" s="111" t="s">
        <v>191</v>
      </c>
      <c r="Z32" s="110" t="s">
        <v>188</v>
      </c>
      <c r="AA32" s="73" t="s">
        <v>199</v>
      </c>
      <c r="AB32" s="73" t="s">
        <v>190</v>
      </c>
      <c r="AC32" s="73" t="s">
        <v>191</v>
      </c>
      <c r="AD32" s="73" t="s">
        <v>188</v>
      </c>
      <c r="AE32" s="73" t="s">
        <v>199</v>
      </c>
      <c r="AF32" s="73" t="s">
        <v>190</v>
      </c>
      <c r="AG32" s="111" t="s">
        <v>191</v>
      </c>
    </row>
    <row r="33" spans="1:33" x14ac:dyDescent="0.35">
      <c r="A33" s="90" t="s">
        <v>192</v>
      </c>
      <c r="B33" s="156">
        <f>SUMIFS(TME[[#All],[Total Non-Truncated Claims Spending]],TME[[#All],[Reporting Year]],2018)</f>
        <v>0</v>
      </c>
      <c r="C33" s="139" cm="1">
        <f t="array" ref="C33">SUMIFS(SD[[#All],[Total Truncated Claims Spending]],SD[[#All],[Reporting Year]],2018,SD[[#All],[Large Provider Entity Code]],Insurer_Code)</f>
        <v>0</v>
      </c>
      <c r="D33" s="47" t="str">
        <f>IF(B33=C33,"Yes","No")</f>
        <v>Yes</v>
      </c>
      <c r="E33" s="137">
        <f>ABS(B33-C33)</f>
        <v>0</v>
      </c>
      <c r="F33" s="141">
        <f>SUM(B20:B25)</f>
        <v>0</v>
      </c>
      <c r="G33" s="141" cm="1">
        <f t="array" ref="G33">SUMIFS(SD[[#All],[Member Months]],SD[[#All],[Reporting Year]],2018,SD[[#All],[Large Provider Entity Code]],Insurer_Code)</f>
        <v>0</v>
      </c>
      <c r="H33" s="47" t="str">
        <f>IF(F33=G33,"Yes","No")</f>
        <v>Yes</v>
      </c>
      <c r="I33" s="130">
        <f>ABS(F33-G33)</f>
        <v>0</v>
      </c>
      <c r="J33" s="112">
        <f>SUMIFS(TME[[#All],[Total Non-Truncated Claims Spending]],TME[[#All],[Reporting Year]],2019)</f>
        <v>0</v>
      </c>
      <c r="K33" s="78" cm="1">
        <f t="array" ref="K33">SUMIFS(SD[[#All],[Total Truncated Claims Spending]],SD[[#All],[Reporting Year]],2019,SD[[#All],[Large Provider Entity Code]],Insurer_Code)</f>
        <v>0</v>
      </c>
      <c r="L33" s="47" t="str">
        <f>IF(J33=K33,"Yes","No")</f>
        <v>Yes</v>
      </c>
      <c r="M33" s="139">
        <f>ABS(J33-K33)</f>
        <v>0</v>
      </c>
      <c r="N33" s="141">
        <f>SUM(C20:C25)</f>
        <v>0</v>
      </c>
      <c r="O33" s="141" cm="1">
        <f t="array" ref="O33">SUMIFS(SD[[#All],[Member Months]],SD[[#All],[Reporting Year]],2019,SD[[#All],[Large Provider Entity Code]],Insurer_Code)</f>
        <v>0</v>
      </c>
      <c r="P33" s="47" t="str">
        <f>IF(N33=O33,"Yes","No")</f>
        <v>Yes</v>
      </c>
      <c r="Q33" s="132">
        <f>ABS(N33-O33)</f>
        <v>0</v>
      </c>
      <c r="R33" s="112">
        <f>SUMIFS(TME[[#All],[Total Non-Truncated Claims Spending]],TME[[#All],[Reporting Year]],2020)</f>
        <v>0</v>
      </c>
      <c r="S33" s="78" cm="1">
        <f t="array" ref="S33">SUMIFS(SD[[#All],[Total Truncated Claims Spending]],SD[[#All],[Reporting Year]],2020,SD[[#All],[Large Provider Entity Code]],Insurer_Code)</f>
        <v>0</v>
      </c>
      <c r="T33" s="47" t="str">
        <f>IF(R33=S33,"Yes","No")</f>
        <v>Yes</v>
      </c>
      <c r="U33" s="139">
        <f>ABS(R33-S33)</f>
        <v>0</v>
      </c>
      <c r="V33" s="141">
        <f>SUM(D20:D25)</f>
        <v>0</v>
      </c>
      <c r="W33" s="141" cm="1">
        <f t="array" ref="W33">SUMIFS(SD[[#All],[Member Months]],SD[[#All],[Reporting Year]],2020,SD[[#All],[Large Provider Entity Code]],Insurer_Code)</f>
        <v>0</v>
      </c>
      <c r="X33" s="47" t="str">
        <f>IF(V33=W33,"Yes","No")</f>
        <v>Yes</v>
      </c>
      <c r="Y33" s="132">
        <f>ABS(V33-W33)</f>
        <v>0</v>
      </c>
      <c r="Z33" s="112">
        <f>SUMIFS(TME[[#All],[Total Non-Truncated Claims Spending]],TME[[#All],[Reporting Year]],2021)</f>
        <v>0</v>
      </c>
      <c r="AA33" s="78" cm="1">
        <f t="array" ref="AA33">SUMIFS(SD[[#All],[Total Truncated Claims Spending]],SD[[#All],[Reporting Year]],2021,SD[[#All],[Large Provider Entity Code]],Insurer_Code)</f>
        <v>0</v>
      </c>
      <c r="AB33" s="47" t="str">
        <f>IF(Z33=AA33,"Yes","No")</f>
        <v>Yes</v>
      </c>
      <c r="AC33" s="139">
        <f>ABS(Z33-AA33)</f>
        <v>0</v>
      </c>
      <c r="AD33" s="141">
        <f>SUM(E20:E25)</f>
        <v>0</v>
      </c>
      <c r="AE33" s="141" cm="1">
        <f t="array" ref="AE33">SUMIFS(SD[[#All],[Member Months]],SD[[#All],[Reporting Year]],2021,SD[[#All],[Large Provider Entity Code]],Insurer_Code)</f>
        <v>0</v>
      </c>
      <c r="AF33" s="47" t="str">
        <f>IF(AD33=AE33,"Yes","No")</f>
        <v>Yes</v>
      </c>
      <c r="AG33" s="132">
        <f>ABS(AD33-AE33)</f>
        <v>0</v>
      </c>
    </row>
    <row r="34" spans="1:33" x14ac:dyDescent="0.35">
      <c r="A34" s="90" t="s">
        <v>193</v>
      </c>
      <c r="B34" s="156">
        <f>SUMIFS(TME[[#All],[Total Non-Truncated Claims Spending]],TME[[#All],[Reporting Year]],2018,TME[[#All],[Insurance Category Code]],1)+SUMIFS(TME[[#All],[Total Non-Truncated Claims Spending]],TME[[#All],[Reporting Year]],2018,TME[[#All],[Insurance Category Code]],5)</f>
        <v>0</v>
      </c>
      <c r="C34" s="139" cm="1">
        <f t="array" ref="C34">SUMIFS(SD[[#All],[Total Truncated Claims Spending]],SD[[#All],[Reporting Year]],2018,SD[[#All],[Large Provider Entity Code]],Insurer_Code,SD[[#All],[Market Code]],1)</f>
        <v>0</v>
      </c>
      <c r="D34" s="47" t="str">
        <f>IF(B34=C34,"Yes","No")</f>
        <v>Yes</v>
      </c>
      <c r="E34" s="137">
        <f>ABS(B34-C34)</f>
        <v>0</v>
      </c>
      <c r="F34" s="141">
        <f>SUM(B20,B24)</f>
        <v>0</v>
      </c>
      <c r="G34" s="141" cm="1">
        <f t="array" ref="G34">SUMIFS(SD[[#All],[Member Months]],SD[[#All],[Reporting Year]],2018,SD[[#All],[Large Provider Entity Code]],Insurer_Code,SD[[#All],[Market Code]],1)</f>
        <v>0</v>
      </c>
      <c r="H34" s="47" t="str">
        <f>IF(F34=G34,"Yes","No")</f>
        <v>Yes</v>
      </c>
      <c r="I34" s="130">
        <f>ABS(F34-G34)</f>
        <v>0</v>
      </c>
      <c r="J34" s="112">
        <f>SUMIFS(TME[[#All],[Total Non-Truncated Claims Spending]],TME[[#All],[Reporting Year]],2019,TME[[#All],[Insurance Category Code]],1)+SUMIFS(TME[[#All],[Total Non-Truncated Claims Spending]],TME[[#All],[Reporting Year]],2019,TME[[#All],[Insurance Category Code]],5)</f>
        <v>0</v>
      </c>
      <c r="K34" s="72" cm="1">
        <f t="array" ref="K34">SUMIFS(SD[[#All],[Total Truncated Claims Spending]],SD[[#All],[Reporting Year]],2019,SD[[#All],[Large Provider Entity Code]],Insurer_Code,SD[[#All],[Market Code]],1)</f>
        <v>0</v>
      </c>
      <c r="L34" s="47" t="str">
        <f>IF(J34=K34,"Yes","No")</f>
        <v>Yes</v>
      </c>
      <c r="M34" s="139">
        <f>ABS(J34-K34)</f>
        <v>0</v>
      </c>
      <c r="N34" s="141">
        <f>SUM(C20,C24)</f>
        <v>0</v>
      </c>
      <c r="O34" s="141" cm="1">
        <f t="array" ref="O34">SUMIFS(SD[[#All],[Member Months]],SD[[#All],[Reporting Year]],2019,SD[[#All],[Large Provider Entity Code]],Insurer_Code,SD[[#All],[Market Code]],1)</f>
        <v>0</v>
      </c>
      <c r="P34" s="47" t="str">
        <f>IF(N34=O34,"Yes","No")</f>
        <v>Yes</v>
      </c>
      <c r="Q34" s="132">
        <f>ABS(N34-O34)</f>
        <v>0</v>
      </c>
      <c r="R34" s="112">
        <f>SUMIFS(TME[[#All],[Total Non-Truncated Claims Spending]],TME[[#All],[Reporting Year]],2020,TME[[#All],[Insurance Category Code]],1)+SUMIFS(TME[[#All],[Total Non-Truncated Claims Spending]],TME[[#All],[Reporting Year]],2020,TME[[#All],[Insurance Category Code]],5)</f>
        <v>0</v>
      </c>
      <c r="S34" s="72" cm="1">
        <f t="array" ref="S34">SUMIFS(SD[[#All],[Total Truncated Claims Spending]],SD[[#All],[Reporting Year]],2020,SD[[#All],[Large Provider Entity Code]],Insurer_Code,SD[[#All],[Market Code]],1)</f>
        <v>0</v>
      </c>
      <c r="T34" s="47" t="str">
        <f>IF(R34=S34,"Yes","No")</f>
        <v>Yes</v>
      </c>
      <c r="U34" s="139">
        <f>ABS(R34-S34)</f>
        <v>0</v>
      </c>
      <c r="V34" s="141">
        <f>SUM(D20,D24)</f>
        <v>0</v>
      </c>
      <c r="W34" s="141" cm="1">
        <f t="array" ref="W34">SUMIFS(SD[[#All],[Member Months]],SD[[#All],[Reporting Year]],2020,SD[[#All],[Large Provider Entity Code]],Insurer_Code,SD[[#All],[Market Code]],1)</f>
        <v>0</v>
      </c>
      <c r="X34" s="47" t="str">
        <f>IF(V34=W34,"Yes","No")</f>
        <v>Yes</v>
      </c>
      <c r="Y34" s="132">
        <f>ABS(V34-W34)</f>
        <v>0</v>
      </c>
      <c r="Z34" s="112">
        <f>SUMIFS(TME[[#All],[Total Non-Truncated Claims Spending]],TME[[#All],[Reporting Year]],2021,TME[[#All],[Insurance Category Code]],1)+SUMIFS(TME[[#All],[Total Non-Truncated Claims Spending]],TME[[#All],[Reporting Year]],2021,TME[[#All],[Insurance Category Code]],5)</f>
        <v>0</v>
      </c>
      <c r="AA34" s="72" cm="1">
        <f t="array" ref="AA34">SUMIFS(SD[[#All],[Total Truncated Claims Spending]],SD[[#All],[Reporting Year]],2021,SD[[#All],[Large Provider Entity Code]],Insurer_Code,SD[[#All],[Market Code]],1)</f>
        <v>0</v>
      </c>
      <c r="AB34" s="47" t="str">
        <f>IF(Z34=AA34,"Yes","No")</f>
        <v>Yes</v>
      </c>
      <c r="AC34" s="139">
        <f>ABS(Z34-AA34)</f>
        <v>0</v>
      </c>
      <c r="AD34" s="141">
        <f>SUM(E20,E25)</f>
        <v>0</v>
      </c>
      <c r="AE34" s="141" cm="1">
        <f t="array" ref="AE34">SUMIFS(SD[[#All],[Member Months]],SD[[#All],[Reporting Year]],2021,SD[[#All],[Large Provider Entity Code]],Insurer_Code,SD[[#All],[Market Code]],1)</f>
        <v>0</v>
      </c>
      <c r="AF34" s="47" t="str">
        <f>IF(AD34=AE34,"Yes","No")</f>
        <v>Yes</v>
      </c>
      <c r="AG34" s="132">
        <f>ABS(AD34-AE34)</f>
        <v>0</v>
      </c>
    </row>
    <row r="35" spans="1:33" x14ac:dyDescent="0.35">
      <c r="A35" s="90" t="s">
        <v>194</v>
      </c>
      <c r="B35" s="156">
        <f>SUMIFS(TME[[#All],[Total Non-Truncated Claims Spending]],TME[[#All],[Reporting Year]],2018,TME[[#All],[Insurance Category Code]],2)+SUMIFS(TME[[#All],[Total Non-Truncated Claims Spending]],TME[[#All],[Reporting Year]],2018,TME[[#All],[Insurance Category Code]],6)</f>
        <v>0</v>
      </c>
      <c r="C35" s="139" cm="1">
        <f t="array" ref="C35">SUMIFS(SD[[#All],[Total Truncated Claims Spending]],SD[[#All],[Reporting Year]],2018,SD[[#All],[Large Provider Entity Code]],Insurer_Code,SD[[#All],[Market Code]],2)</f>
        <v>0</v>
      </c>
      <c r="D35" s="47" t="str">
        <f>IF(B35=C35,"Yes","No")</f>
        <v>Yes</v>
      </c>
      <c r="E35" s="137">
        <f>ABS(B35-C35)</f>
        <v>0</v>
      </c>
      <c r="F35" s="141">
        <f>SUM(B21,B25)</f>
        <v>0</v>
      </c>
      <c r="G35" s="141" cm="1">
        <f t="array" ref="G35">SUMIFS(SD[[#All],[Member Months]],SD[[#All],[Reporting Year]],2018,SD[[#All],[Large Provider Entity Code]],Insurer_Code,SD[[#All],[Market Code]],2)</f>
        <v>0</v>
      </c>
      <c r="H35" s="47" t="str">
        <f>IF(F35=G35,"Yes","No")</f>
        <v>Yes</v>
      </c>
      <c r="I35" s="130">
        <f>ABS(F35-G35)</f>
        <v>0</v>
      </c>
      <c r="J35" s="112">
        <f>SUMIFS(TME[[#All],[Total Non-Truncated Claims Spending]],TME[[#All],[Reporting Year]],2019,TME[[#All],[Insurance Category Code]],2)+SUMIFS(TME[[#All],[Total Non-Truncated Claims Spending]],TME[[#All],[Reporting Year]],2019,TME[[#All],[Insurance Category Code]],6)</f>
        <v>0</v>
      </c>
      <c r="K35" s="72" cm="1">
        <f t="array" ref="K35">SUMIFS(SD[[#All],[Total Truncated Claims Spending]],SD[[#All],[Reporting Year]],2019,SD[[#All],[Large Provider Entity Code]],Insurer_Code,SD[[#All],[Market Code]],2)</f>
        <v>0</v>
      </c>
      <c r="L35" s="47" t="str">
        <f>IF(J35=K35,"Yes","No")</f>
        <v>Yes</v>
      </c>
      <c r="M35" s="139">
        <f>ABS(J35-K35)</f>
        <v>0</v>
      </c>
      <c r="N35" s="141">
        <f>SUM(C21,C25)</f>
        <v>0</v>
      </c>
      <c r="O35" s="141" cm="1">
        <f t="array" ref="O35">SUMIFS(SD[[#All],[Member Months]],SD[[#All],[Reporting Year]],2019,SD[[#All],[Large Provider Entity Code]],Insurer_Code,SD[[#All],[Market Code]],2)</f>
        <v>0</v>
      </c>
      <c r="P35" s="47" t="str">
        <f>IF(N35=O35,"Yes","No")</f>
        <v>Yes</v>
      </c>
      <c r="Q35" s="132">
        <f>ABS(N35-O35)</f>
        <v>0</v>
      </c>
      <c r="R35" s="112">
        <f>SUMIFS(TME[[#All],[Total Non-Truncated Claims Spending]],TME[[#All],[Reporting Year]],2020,TME[[#All],[Insurance Category Code]],2)+SUMIFS(TME[[#All],[Total Non-Truncated Claims Spending]],TME[[#All],[Reporting Year]],2020,TME[[#All],[Insurance Category Code]],6)</f>
        <v>0</v>
      </c>
      <c r="S35" s="72" cm="1">
        <f t="array" ref="S35">SUMIFS(SD[[#All],[Total Truncated Claims Spending]],SD[[#All],[Reporting Year]],2020,SD[[#All],[Large Provider Entity Code]],Insurer_Code,SD[[#All],[Market Code]],2)</f>
        <v>0</v>
      </c>
      <c r="T35" s="47" t="str">
        <f>IF(R35=S35,"Yes","No")</f>
        <v>Yes</v>
      </c>
      <c r="U35" s="139">
        <f>ABS(R35-S35)</f>
        <v>0</v>
      </c>
      <c r="V35" s="141">
        <f>SUM(D21,D25)</f>
        <v>0</v>
      </c>
      <c r="W35" s="141" cm="1">
        <f t="array" ref="W35">SUMIFS(SD[[#All],[Member Months]],SD[[#All],[Reporting Year]],2020,SD[[#All],[Large Provider Entity Code]],Insurer_Code,SD[[#All],[Market Code]],2)</f>
        <v>0</v>
      </c>
      <c r="X35" s="47" t="str">
        <f>IF(V35=W35,"Yes","No")</f>
        <v>Yes</v>
      </c>
      <c r="Y35" s="132">
        <f>ABS(V35-W35)</f>
        <v>0</v>
      </c>
      <c r="Z35" s="112">
        <f>SUMIFS(TME[[#All],[Total Non-Truncated Claims Spending]],TME[[#All],[Reporting Year]],2021,TME[[#All],[Insurance Category Code]],2)+SUMIFS(TME[[#All],[Total Non-Truncated Claims Spending]],TME[[#All],[Reporting Year]],2021,TME[[#All],[Insurance Category Code]],6)</f>
        <v>0</v>
      </c>
      <c r="AA35" s="72" cm="1">
        <f t="array" ref="AA35">SUMIFS(SD[[#All],[Total Truncated Claims Spending]],SD[[#All],[Reporting Year]],2021,SD[[#All],[Large Provider Entity Code]],Insurer_Code,SD[[#All],[Market Code]],2)</f>
        <v>0</v>
      </c>
      <c r="AB35" s="47" t="str">
        <f>IF(Z35=AA35,"Yes","No")</f>
        <v>Yes</v>
      </c>
      <c r="AC35" s="139">
        <f>ABS(Z35-AA35)</f>
        <v>0</v>
      </c>
      <c r="AD35" s="141">
        <f>SUM(E21,E25)</f>
        <v>0</v>
      </c>
      <c r="AE35" s="141" cm="1">
        <f t="array" ref="AE35">SUMIFS(SD[[#All],[Member Months]],SD[[#All],[Reporting Year]],2021,SD[[#All],[Large Provider Entity Code]],Insurer_Code,SD[[#All],[Market Code]],2)</f>
        <v>0</v>
      </c>
      <c r="AF35" s="47" t="str">
        <f>IF(AD35=AE35,"Yes","No")</f>
        <v>Yes</v>
      </c>
      <c r="AG35" s="132">
        <f>ABS(AD35-AE35)</f>
        <v>0</v>
      </c>
    </row>
    <row r="36" spans="1:33" ht="15" thickBot="1" x14ac:dyDescent="0.4">
      <c r="A36" s="90" t="s">
        <v>200</v>
      </c>
      <c r="B36" s="157">
        <f>SUMIFS(TME[[#All],[Total Non-Truncated Claims Spending]],TME[[#All],[Reporting Year]],2018,TME[[#All],[Insurance Category Code]],3)+SUMIFS(TME[[#All],[Total Non-Truncated Claims Spending]],TME[[#All],[Reporting Year]],2018,TME[[#All],[Insurance Category Code]],4)</f>
        <v>0</v>
      </c>
      <c r="C36" s="140" cm="1">
        <f t="array" ref="C36">SUMIFS(SD[[#All],[Total Truncated Claims Spending]],SD[[#All],[Reporting Year]],2018,SD[[#All],[Large Provider Entity Code]],Insurer_Code,SD[[#All],[Market Code]],3)</f>
        <v>0</v>
      </c>
      <c r="D36" s="115" t="str">
        <f>IF(B36=C36,"Yes","No")</f>
        <v>Yes</v>
      </c>
      <c r="E36" s="138">
        <f>ABS(B36-C36)</f>
        <v>0</v>
      </c>
      <c r="F36" s="158">
        <f>SUM(B22:B23)</f>
        <v>0</v>
      </c>
      <c r="G36" s="158" cm="1">
        <f t="array" ref="G36">SUMIFS(SD[[#All],[Member Months]],SD[[#All],[Reporting Year]],2018,SD[[#All],[Large Provider Entity Code]],Insurer_Code,SD[[#All],[Market Code]],3)</f>
        <v>0</v>
      </c>
      <c r="H36" s="115" t="str">
        <f>IF(F36=G36,"Yes","No")</f>
        <v>Yes</v>
      </c>
      <c r="I36" s="131">
        <f>ABS(F36-G36)</f>
        <v>0</v>
      </c>
      <c r="J36" s="113">
        <f>SUMIFS(TME[[#All],[Total Non-Truncated Claims Spending]],TME[[#All],[Reporting Year]],2019,TME[[#All],[Insurance Category Code]],3)+SUMIFS(TME[[#All],[Total Non-Truncated Claims Spending]],TME[[#All],[Reporting Year]],2019,TME[[#All],[Insurance Category Code]],4)</f>
        <v>0</v>
      </c>
      <c r="K36" s="114" cm="1">
        <f t="array" ref="K36">SUMIFS(SD[[#All],[Total Truncated Claims Spending]],SD[[#All],[Reporting Year]],2019,SD[[#All],[Large Provider Entity Code]],Insurer_Code,SD[[#All],[Market Code]],3)</f>
        <v>0</v>
      </c>
      <c r="L36" s="115" t="str">
        <f>IF(J36=K36,"Yes","No")</f>
        <v>Yes</v>
      </c>
      <c r="M36" s="140">
        <f>ABS(J36-K36)</f>
        <v>0</v>
      </c>
      <c r="N36" s="158">
        <f>SUM(C22:C23)</f>
        <v>0</v>
      </c>
      <c r="O36" s="158" cm="1">
        <f t="array" ref="O36">SUMIFS(SD[[#All],[Member Months]],SD[[#All],[Reporting Year]],2019,SD[[#All],[Large Provider Entity Code]],Insurer_Code,SD[[#All],[Market Code]],3)</f>
        <v>0</v>
      </c>
      <c r="P36" s="115" t="str">
        <f>IF(N36=O36,"Yes","No")</f>
        <v>Yes</v>
      </c>
      <c r="Q36" s="133">
        <f>ABS(N36-O36)</f>
        <v>0</v>
      </c>
      <c r="R36" s="113">
        <f>SUMIFS(TME[[#All],[Total Non-Truncated Claims Spending]],TME[[#All],[Reporting Year]],2020,TME[[#All],[Insurance Category Code]],3)+SUMIFS(TME[[#All],[Total Non-Truncated Claims Spending]],TME[[#All],[Reporting Year]],2020,TME[[#All],[Insurance Category Code]],4)</f>
        <v>0</v>
      </c>
      <c r="S36" s="114" cm="1">
        <f t="array" ref="S36">SUMIFS(SD[[#All],[Total Truncated Claims Spending]],SD[[#All],[Reporting Year]],2020,SD[[#All],[Large Provider Entity Code]],Insurer_Code,SD[[#All],[Market Code]],3)</f>
        <v>0</v>
      </c>
      <c r="T36" s="115" t="str">
        <f>IF(R36=S36,"Yes","No")</f>
        <v>Yes</v>
      </c>
      <c r="U36" s="140">
        <f>ABS(R36-S36)</f>
        <v>0</v>
      </c>
      <c r="V36" s="158">
        <f>SUM(D22:D23)</f>
        <v>0</v>
      </c>
      <c r="W36" s="158" cm="1">
        <f t="array" ref="W36">SUMIFS(SD[[#All],[Member Months]],SD[[#All],[Reporting Year]],2020,SD[[#All],[Large Provider Entity Code]],Insurer_Code,SD[[#All],[Market Code]],3)</f>
        <v>0</v>
      </c>
      <c r="X36" s="115" t="str">
        <f>IF(V36=W36,"Yes","No")</f>
        <v>Yes</v>
      </c>
      <c r="Y36" s="133">
        <f>ABS(V36-W36)</f>
        <v>0</v>
      </c>
      <c r="Z36" s="113">
        <f>SUMIFS(TME[[#All],[Total Non-Truncated Claims Spending]],TME[[#All],[Reporting Year]],2021,TME[[#All],[Insurance Category Code]],3)+SUMIFS(TME[[#All],[Total Non-Truncated Claims Spending]],TME[[#All],[Reporting Year]],2021,TME[[#All],[Insurance Category Code]],4)</f>
        <v>0</v>
      </c>
      <c r="AA36" s="114" cm="1">
        <f t="array" ref="AA36">SUMIFS(SD[[#All],[Total Truncated Claims Spending]],SD[[#All],[Reporting Year]],2021,SD[[#All],[Large Provider Entity Code]],Insurer_Code,SD[[#All],[Market Code]],3)</f>
        <v>0</v>
      </c>
      <c r="AB36" s="115" t="str">
        <f>IF(Z36=AA36,"Yes","No")</f>
        <v>Yes</v>
      </c>
      <c r="AC36" s="140">
        <f>ABS(Z36-AA36)</f>
        <v>0</v>
      </c>
      <c r="AD36" s="158">
        <f>SUM(E22:E23)</f>
        <v>0</v>
      </c>
      <c r="AE36" s="158" cm="1">
        <f t="array" ref="AE36">SUMIFS(SD[[#All],[Member Months]],SD[[#All],[Reporting Year]],2021,SD[[#All],[Large Provider Entity Code]],Insurer_Code,SD[[#All],[Market Code]],3)</f>
        <v>0</v>
      </c>
      <c r="AF36" s="115" t="str">
        <f>IF(AD36=AE36,"Yes","No")</f>
        <v>Yes</v>
      </c>
      <c r="AG36" s="133">
        <f>ABS(AD36-AE36)</f>
        <v>0</v>
      </c>
    </row>
    <row r="39" spans="1:33" x14ac:dyDescent="0.35">
      <c r="A39" s="76" t="s">
        <v>302</v>
      </c>
    </row>
    <row r="40" spans="1:33" ht="15" thickBot="1" x14ac:dyDescent="0.4">
      <c r="A40" s="70" t="s">
        <v>201</v>
      </c>
    </row>
    <row r="41" spans="1:33" x14ac:dyDescent="0.35">
      <c r="A41" s="205" t="s">
        <v>20</v>
      </c>
      <c r="B41" s="202">
        <v>2018</v>
      </c>
      <c r="C41" s="203"/>
      <c r="D41" s="203"/>
      <c r="E41" s="203"/>
      <c r="F41" s="203"/>
      <c r="G41" s="207"/>
      <c r="H41" s="202">
        <v>2019</v>
      </c>
      <c r="I41" s="203"/>
      <c r="J41" s="203"/>
      <c r="K41" s="203"/>
      <c r="L41" s="203"/>
      <c r="M41" s="207"/>
      <c r="N41" s="202">
        <v>2020</v>
      </c>
      <c r="O41" s="203"/>
      <c r="P41" s="203"/>
      <c r="Q41" s="203"/>
      <c r="R41" s="203"/>
      <c r="S41" s="204"/>
      <c r="T41" s="202">
        <v>2021</v>
      </c>
      <c r="U41" s="203"/>
      <c r="V41" s="203"/>
      <c r="W41" s="203"/>
      <c r="X41" s="203"/>
      <c r="Y41" s="204"/>
    </row>
    <row r="42" spans="1:33" ht="58" x14ac:dyDescent="0.35">
      <c r="A42" s="205"/>
      <c r="B42" s="118" t="s">
        <v>202</v>
      </c>
      <c r="C42" s="77" t="s">
        <v>105</v>
      </c>
      <c r="D42" s="77" t="s">
        <v>203</v>
      </c>
      <c r="E42" s="77" t="s">
        <v>204</v>
      </c>
      <c r="F42" s="77" t="s">
        <v>208</v>
      </c>
      <c r="G42" s="163" t="s">
        <v>206</v>
      </c>
      <c r="H42" s="118" t="s">
        <v>202</v>
      </c>
      <c r="I42" s="77" t="s">
        <v>105</v>
      </c>
      <c r="J42" s="77" t="s">
        <v>207</v>
      </c>
      <c r="K42" s="77" t="s">
        <v>204</v>
      </c>
      <c r="L42" s="77" t="s">
        <v>208</v>
      </c>
      <c r="M42" s="163" t="s">
        <v>206</v>
      </c>
      <c r="N42" s="118" t="s">
        <v>202</v>
      </c>
      <c r="O42" s="77" t="s">
        <v>105</v>
      </c>
      <c r="P42" s="77" t="s">
        <v>207</v>
      </c>
      <c r="Q42" s="77" t="s">
        <v>204</v>
      </c>
      <c r="R42" s="77" t="s">
        <v>208</v>
      </c>
      <c r="S42" s="119" t="s">
        <v>206</v>
      </c>
      <c r="T42" s="118" t="s">
        <v>202</v>
      </c>
      <c r="U42" s="77" t="s">
        <v>105</v>
      </c>
      <c r="V42" s="77" t="s">
        <v>207</v>
      </c>
      <c r="W42" s="77" t="s">
        <v>204</v>
      </c>
      <c r="X42" s="77" t="s">
        <v>208</v>
      </c>
      <c r="Y42" s="119" t="s">
        <v>206</v>
      </c>
    </row>
    <row r="43" spans="1:33" x14ac:dyDescent="0.35">
      <c r="A43" s="90">
        <v>1</v>
      </c>
      <c r="B43" s="159">
        <f>B20/12</f>
        <v>0</v>
      </c>
      <c r="C43" s="141">
        <f>SUMIFS(TME[[#All],[Count of Members with Claims Truncated]],TME[[#All],[Reporting Year]],2018,TME[[#All],[Insurance Category Code]],A43)</f>
        <v>0</v>
      </c>
      <c r="D43" s="47" t="str" cm="1">
        <f t="array" ref="D43">_xlfn.IFS(B43=0,"NA",B43&gt;C43,"Yes",B43&lt;C43,"No")</f>
        <v>NA</v>
      </c>
      <c r="E43" s="72">
        <f>SUMIFS(TME[[#All],[Total Non-Truncated Claims Spending]],TME[[#All],[Reporting Year]],2018,TME[[#All],[Insurance Category Code]],A43)</f>
        <v>0</v>
      </c>
      <c r="F43" s="72">
        <f>SUMIFS(TME[[#All],[Total Truncated Claims Spending]],TME[[#All],[Reporting Year]],2018,TME[[#All],[Insurance Category Code]],A43)</f>
        <v>0</v>
      </c>
      <c r="G43" s="90" t="str" cm="1">
        <f t="array" ref="G43">_xlfn.IFS(E43=0,"NA",E43&gt;F43,"Yes",E43&lt;F43,"No",E43=F43,"Equal")</f>
        <v>NA</v>
      </c>
      <c r="H43" s="159">
        <f>C20/12</f>
        <v>0</v>
      </c>
      <c r="I43" s="141">
        <f>SUMIFS(TME[[#All],[Count of Members with Claims Truncated]],TME[[#All],[Reporting Year]],2019,TME[[#All],[Insurance Category Code]],A43)</f>
        <v>0</v>
      </c>
      <c r="J43" s="47" t="str" cm="1">
        <f t="array" ref="J43">_xlfn.IFS(H43=0,"NA",H43&gt;I43,"Yes",H43&lt;I43,"No")</f>
        <v>NA</v>
      </c>
      <c r="K43" s="72">
        <f>SUMIFS(TME[[#All],[Total Non-Truncated Claims Spending]],TME[[#All],[Reporting Year]],2019,TME[[#All],[Insurance Category Code]],A43)</f>
        <v>0</v>
      </c>
      <c r="L43" s="72">
        <f>SUMIFS(TME[[#All],[Total Truncated Claims Spending]],TME[[#All],[Reporting Year]],2019,TME[[#All],[Insurance Category Code]],A43)</f>
        <v>0</v>
      </c>
      <c r="M43" s="90" t="str" cm="1">
        <f t="array" ref="M43">_xlfn.IFS(K43=0,"NA",K43&gt;L43,"Yes",K43&lt;L43,"No",K43=L43,"Equal")</f>
        <v>NA</v>
      </c>
      <c r="N43" s="159">
        <f>D20/12</f>
        <v>0</v>
      </c>
      <c r="O43" s="141">
        <f>SUMIFS(TME[[#All],[Count of Members with Claims Truncated]],TME[[#All],[Reporting Year]],2020,TME[[#All],[Insurance Category Code]],A43)</f>
        <v>0</v>
      </c>
      <c r="P43" s="47" t="str" cm="1">
        <f t="array" ref="P43">_xlfn.IFS(N43=0,"NA",N43&gt;O43,"Yes",N43&lt;O43,"No")</f>
        <v>NA</v>
      </c>
      <c r="Q43" s="72">
        <f>SUMIFS(TME[[#All],[Total Non-Truncated Claims Spending]],TME[[#All],[Reporting Year]],2020,TME[[#All],[Insurance Category Code]],A43)</f>
        <v>0</v>
      </c>
      <c r="R43" s="72">
        <f>SUMIFS(TME[[#All],[Total Truncated Claims Spending]],TME[[#All],[Reporting Year]],2020,TME[[#All],[Insurance Category Code]],A43)</f>
        <v>0</v>
      </c>
      <c r="S43" s="120" t="str" cm="1">
        <f t="array" ref="S43">_xlfn.IFS(Q43=0,"NA",Q43&gt;R43,"Yes",Q43&lt;R43,"No",Q43=R43,"Equal")</f>
        <v>NA</v>
      </c>
      <c r="T43" s="159">
        <f>E20/12</f>
        <v>0</v>
      </c>
      <c r="U43" s="141">
        <f>SUMIFS(TME[[#All],[Count of Members with Claims Truncated]],TME[[#All],[Reporting Year]],2021,TME[[#All],[Insurance Category Code]],A43)</f>
        <v>0</v>
      </c>
      <c r="V43" s="47" t="str" cm="1">
        <f t="array" ref="V43">_xlfn.IFS(T43=0,"NA",T43&gt;U43,"Yes",T43&lt;U43,"No")</f>
        <v>NA</v>
      </c>
      <c r="W43" s="72">
        <f>SUMIFS(TME[[#All],[Total Non-Truncated Claims Spending]],TME[[#All],[Reporting Year]],2021,TME[[#All],[Insurance Category Code]],A43)</f>
        <v>0</v>
      </c>
      <c r="X43" s="72">
        <f>SUMIFS(TME[[#All],[Total Truncated Claims Spending]],TME[[#All],[Reporting Year]],2021,TME[[#All],[Insurance Category Code]],A43)</f>
        <v>0</v>
      </c>
      <c r="Y43" s="120" t="str" cm="1">
        <f t="array" ref="Y43">_xlfn.IFS(W43=0,"NA",W43&gt;X43,"Yes",W43&lt;X43,"No",W43=X43,"Equal")</f>
        <v>NA</v>
      </c>
    </row>
    <row r="44" spans="1:33" x14ac:dyDescent="0.35">
      <c r="A44" s="90">
        <v>2</v>
      </c>
      <c r="B44" s="159">
        <f t="shared" ref="B44:B48" si="8">B21/12</f>
        <v>0</v>
      </c>
      <c r="C44" s="141">
        <f>SUMIFS(TME[[#All],[Count of Members with Claims Truncated]],TME[[#All],[Reporting Year]],2018,TME[[#All],[Insurance Category Code]],A44)</f>
        <v>0</v>
      </c>
      <c r="D44" s="47" t="str" cm="1">
        <f t="array" ref="D44">_xlfn.IFS(B44=0,"NA",B44&gt;C44,"Yes",B44&lt;C44,"No")</f>
        <v>NA</v>
      </c>
      <c r="E44" s="72">
        <f>SUMIFS(TME[[#All],[Total Non-Truncated Claims Spending]],TME[[#All],[Reporting Year]],2018,TME[[#All],[Insurance Category Code]],A44)</f>
        <v>0</v>
      </c>
      <c r="F44" s="72">
        <f>SUMIFS(TME[[#All],[Total Truncated Claims Spending]],TME[[#All],[Reporting Year]],2018,TME[[#All],[Insurance Category Code]],A44)</f>
        <v>0</v>
      </c>
      <c r="G44" s="90" t="str" cm="1">
        <f t="array" ref="G44">_xlfn.IFS(E44=0,"NA",E44&gt;F44,"Yes",E44&lt;F44,"No",E44=F44,"Equal")</f>
        <v>NA</v>
      </c>
      <c r="H44" s="159">
        <f t="shared" ref="H44:H48" si="9">C21/12</f>
        <v>0</v>
      </c>
      <c r="I44" s="141">
        <f>SUMIFS(TME[[#All],[Count of Members with Claims Truncated]],TME[[#All],[Reporting Year]],2019,TME[[#All],[Insurance Category Code]],A44)</f>
        <v>0</v>
      </c>
      <c r="J44" s="47" t="str" cm="1">
        <f t="array" ref="J44">_xlfn.IFS(H44=0,"NA",H44&gt;I44,"Yes",H44&lt;I44,"No")</f>
        <v>NA</v>
      </c>
      <c r="K44" s="72">
        <f>SUMIFS(TME[[#All],[Total Non-Truncated Claims Spending]],TME[[#All],[Reporting Year]],2019,TME[[#All],[Insurance Category Code]],A44)</f>
        <v>0</v>
      </c>
      <c r="L44" s="72">
        <f>SUMIFS(TME[[#All],[Total Truncated Claims Spending]],TME[[#All],[Reporting Year]],2019,TME[[#All],[Insurance Category Code]],A44)</f>
        <v>0</v>
      </c>
      <c r="M44" s="90" t="str" cm="1">
        <f t="array" ref="M44">_xlfn.IFS(K44=0,"NA",K44&gt;L44,"Yes",K44&lt;L44,"No",K44=L44,"Equal")</f>
        <v>NA</v>
      </c>
      <c r="N44" s="159">
        <f t="shared" ref="N44:N48" si="10">D21/12</f>
        <v>0</v>
      </c>
      <c r="O44" s="141">
        <f>SUMIFS(TME[[#All],[Count of Members with Claims Truncated]],TME[[#All],[Reporting Year]],2020,TME[[#All],[Insurance Category Code]],A44)</f>
        <v>0</v>
      </c>
      <c r="P44" s="47" t="str" cm="1">
        <f t="array" ref="P44">_xlfn.IFS(N44=0,"NA",N44&gt;O44,"Yes",N44&lt;O44,"No")</f>
        <v>NA</v>
      </c>
      <c r="Q44" s="72">
        <f>SUMIFS(TME[[#All],[Total Non-Truncated Claims Spending]],TME[[#All],[Reporting Year]],2020,TME[[#All],[Insurance Category Code]],A44)</f>
        <v>0</v>
      </c>
      <c r="R44" s="72">
        <f>SUMIFS(TME[[#All],[Total Truncated Claims Spending]],TME[[#All],[Reporting Year]],2020,TME[[#All],[Insurance Category Code]],A44)</f>
        <v>0</v>
      </c>
      <c r="S44" s="120" t="str" cm="1">
        <f t="array" ref="S44">_xlfn.IFS(Q44=0,"NA",Q44&gt;R44,"Yes",Q44&lt;R44,"No",Q44=R44,"Equal")</f>
        <v>NA</v>
      </c>
      <c r="T44" s="159">
        <f t="shared" ref="T44:T48" si="11">E21/12</f>
        <v>0</v>
      </c>
      <c r="U44" s="141">
        <f>SUMIFS(TME[[#All],[Count of Members with Claims Truncated]],TME[[#All],[Reporting Year]],2021,TME[[#All],[Insurance Category Code]],A44)</f>
        <v>0</v>
      </c>
      <c r="V44" s="47" t="str" cm="1">
        <f t="array" ref="V44">_xlfn.IFS(T44=0,"NA",T44&gt;U44,"Yes",T44&lt;U44,"No")</f>
        <v>NA</v>
      </c>
      <c r="W44" s="72">
        <f>SUMIFS(TME[[#All],[Total Non-Truncated Claims Spending]],TME[[#All],[Reporting Year]],2021,TME[[#All],[Insurance Category Code]],A44)</f>
        <v>0</v>
      </c>
      <c r="X44" s="72">
        <f>SUMIFS(TME[[#All],[Total Truncated Claims Spending]],TME[[#All],[Reporting Year]],2021,TME[[#All],[Insurance Category Code]],A44)</f>
        <v>0</v>
      </c>
      <c r="Y44" s="120" t="str" cm="1">
        <f t="array" ref="Y44">_xlfn.IFS(W44=0,"NA",W44&gt;X44,"Yes",W44&lt;X44,"No",W44=X44,"Equal")</f>
        <v>NA</v>
      </c>
    </row>
    <row r="45" spans="1:33" x14ac:dyDescent="0.35">
      <c r="A45" s="90">
        <v>3</v>
      </c>
      <c r="B45" s="159">
        <f t="shared" si="8"/>
        <v>0</v>
      </c>
      <c r="C45" s="141">
        <f>SUMIFS(TME[[#All],[Count of Members with Claims Truncated]],TME[[#All],[Reporting Year]],2018,TME[[#All],[Insurance Category Code]],A45)</f>
        <v>0</v>
      </c>
      <c r="D45" s="47" t="str" cm="1">
        <f t="array" ref="D45">_xlfn.IFS(B45=0,"NA",B45&gt;C45,"Yes",B45&lt;C45,"No")</f>
        <v>NA</v>
      </c>
      <c r="E45" s="72">
        <f>SUMIFS(TME[[#All],[Total Non-Truncated Claims Spending]],TME[[#All],[Reporting Year]],2018,TME[[#All],[Insurance Category Code]],A45)</f>
        <v>0</v>
      </c>
      <c r="F45" s="72">
        <f>SUMIFS(TME[[#All],[Total Truncated Claims Spending]],TME[[#All],[Reporting Year]],2018,TME[[#All],[Insurance Category Code]],A45)</f>
        <v>0</v>
      </c>
      <c r="G45" s="90" t="str" cm="1">
        <f t="array" ref="G45">_xlfn.IFS(E45=0,"NA",E45&gt;F45,"Yes",E45&lt;F45,"No",E45=F45,"Equal")</f>
        <v>NA</v>
      </c>
      <c r="H45" s="159">
        <f t="shared" si="9"/>
        <v>0</v>
      </c>
      <c r="I45" s="141">
        <f>SUMIFS(TME[[#All],[Count of Members with Claims Truncated]],TME[[#All],[Reporting Year]],2019,TME[[#All],[Insurance Category Code]],A45)</f>
        <v>0</v>
      </c>
      <c r="J45" s="47" t="str" cm="1">
        <f t="array" ref="J45">_xlfn.IFS(H45=0,"NA",H45&gt;I45,"Yes",H45&lt;I45,"No")</f>
        <v>NA</v>
      </c>
      <c r="K45" s="72">
        <f>SUMIFS(TME[[#All],[Total Non-Truncated Claims Spending]],TME[[#All],[Reporting Year]],2019,TME[[#All],[Insurance Category Code]],A45)</f>
        <v>0</v>
      </c>
      <c r="L45" s="72">
        <f>SUMIFS(TME[[#All],[Total Truncated Claims Spending]],TME[[#All],[Reporting Year]],2019,TME[[#All],[Insurance Category Code]],A45)</f>
        <v>0</v>
      </c>
      <c r="M45" s="90" t="str" cm="1">
        <f t="array" ref="M45">_xlfn.IFS(K45=0,"NA",K45&gt;L45,"Yes",K45&lt;L45,"No",K45=L45,"Equal")</f>
        <v>NA</v>
      </c>
      <c r="N45" s="159">
        <f t="shared" si="10"/>
        <v>0</v>
      </c>
      <c r="O45" s="141">
        <f>SUMIFS(TME[[#All],[Count of Members with Claims Truncated]],TME[[#All],[Reporting Year]],2020,TME[[#All],[Insurance Category Code]],A45)</f>
        <v>0</v>
      </c>
      <c r="P45" s="47" t="str" cm="1">
        <f t="array" ref="P45">_xlfn.IFS(N45=0,"NA",N45&gt;O45,"Yes",N45&lt;O45,"No")</f>
        <v>NA</v>
      </c>
      <c r="Q45" s="72">
        <f>SUMIFS(TME[[#All],[Total Non-Truncated Claims Spending]],TME[[#All],[Reporting Year]],2020,TME[[#All],[Insurance Category Code]],A45)</f>
        <v>0</v>
      </c>
      <c r="R45" s="72">
        <f>SUMIFS(TME[[#All],[Total Truncated Claims Spending]],TME[[#All],[Reporting Year]],2020,TME[[#All],[Insurance Category Code]],A45)</f>
        <v>0</v>
      </c>
      <c r="S45" s="120" t="str" cm="1">
        <f t="array" ref="S45">_xlfn.IFS(Q45=0,"NA",Q45&gt;R45,"Yes",Q45&lt;R45,"No",Q45=R45,"Equal")</f>
        <v>NA</v>
      </c>
      <c r="T45" s="159">
        <f t="shared" si="11"/>
        <v>0</v>
      </c>
      <c r="U45" s="141">
        <f>SUMIFS(TME[[#All],[Count of Members with Claims Truncated]],TME[[#All],[Reporting Year]],2021,TME[[#All],[Insurance Category Code]],A45)</f>
        <v>0</v>
      </c>
      <c r="V45" s="47" t="str" cm="1">
        <f t="array" ref="V45">_xlfn.IFS(T45=0,"NA",T45&gt;U45,"Yes",T45&lt;U45,"No")</f>
        <v>NA</v>
      </c>
      <c r="W45" s="72">
        <f>SUMIFS(TME[[#All],[Total Non-Truncated Claims Spending]],TME[[#All],[Reporting Year]],2021,TME[[#All],[Insurance Category Code]],A45)</f>
        <v>0</v>
      </c>
      <c r="X45" s="72">
        <f>SUMIFS(TME[[#All],[Total Truncated Claims Spending]],TME[[#All],[Reporting Year]],2021,TME[[#All],[Insurance Category Code]],A45)</f>
        <v>0</v>
      </c>
      <c r="Y45" s="120" t="str" cm="1">
        <f t="array" ref="Y45">_xlfn.IFS(W45=0,"NA",W45&gt;X45,"Yes",W45&lt;X45,"No",W45=X45,"Equal")</f>
        <v>NA</v>
      </c>
    </row>
    <row r="46" spans="1:33" x14ac:dyDescent="0.35">
      <c r="A46" s="90">
        <v>4</v>
      </c>
      <c r="B46" s="159">
        <f t="shared" si="8"/>
        <v>0</v>
      </c>
      <c r="C46" s="141">
        <f>SUMIFS(TME[[#All],[Count of Members with Claims Truncated]],TME[[#All],[Reporting Year]],2018,TME[[#All],[Insurance Category Code]],A46)</f>
        <v>0</v>
      </c>
      <c r="D46" s="47" t="str" cm="1">
        <f t="array" ref="D46">_xlfn.IFS(B46=0,"NA",B46&gt;C46,"Yes",B46&lt;C46,"No")</f>
        <v>NA</v>
      </c>
      <c r="E46" s="72">
        <f>SUMIFS(TME[[#All],[Total Non-Truncated Claims Spending]],TME[[#All],[Reporting Year]],2018,TME[[#All],[Insurance Category Code]],A46)</f>
        <v>0</v>
      </c>
      <c r="F46" s="72">
        <f>SUMIFS(TME[[#All],[Total Truncated Claims Spending]],TME[[#All],[Reporting Year]],2018,TME[[#All],[Insurance Category Code]],A46)</f>
        <v>0</v>
      </c>
      <c r="G46" s="90" t="str" cm="1">
        <f t="array" ref="G46">_xlfn.IFS(E46=0,"NA",E46&gt;F46,"Yes",E46&lt;F46,"No",E46=F46,"Equal")</f>
        <v>NA</v>
      </c>
      <c r="H46" s="159">
        <f t="shared" si="9"/>
        <v>0</v>
      </c>
      <c r="I46" s="141">
        <f>SUMIFS(TME[[#All],[Count of Members with Claims Truncated]],TME[[#All],[Reporting Year]],2019,TME[[#All],[Insurance Category Code]],A46)</f>
        <v>0</v>
      </c>
      <c r="J46" s="47" t="str" cm="1">
        <f t="array" ref="J46">_xlfn.IFS(H46=0,"NA",H46&gt;I46,"Yes",H46&lt;I46,"No")</f>
        <v>NA</v>
      </c>
      <c r="K46" s="72">
        <f>SUMIFS(TME[[#All],[Total Non-Truncated Claims Spending]],TME[[#All],[Reporting Year]],2019,TME[[#All],[Insurance Category Code]],A46)</f>
        <v>0</v>
      </c>
      <c r="L46" s="72">
        <f>SUMIFS(TME[[#All],[Total Truncated Claims Spending]],TME[[#All],[Reporting Year]],2019,TME[[#All],[Insurance Category Code]],A46)</f>
        <v>0</v>
      </c>
      <c r="M46" s="90" t="str" cm="1">
        <f t="array" ref="M46">_xlfn.IFS(K46=0,"NA",K46&gt;L46,"Yes",K46&lt;L46,"No",K46=L46,"Equal")</f>
        <v>NA</v>
      </c>
      <c r="N46" s="159">
        <f t="shared" si="10"/>
        <v>0</v>
      </c>
      <c r="O46" s="141">
        <f>SUMIFS(TME[[#All],[Count of Members with Claims Truncated]],TME[[#All],[Reporting Year]],2020,TME[[#All],[Insurance Category Code]],A46)</f>
        <v>0</v>
      </c>
      <c r="P46" s="47" t="str" cm="1">
        <f t="array" ref="P46">_xlfn.IFS(N46=0,"NA",N46&gt;O46,"Yes",N46&lt;O46,"No")</f>
        <v>NA</v>
      </c>
      <c r="Q46" s="72">
        <f>SUMIFS(TME[[#All],[Total Non-Truncated Claims Spending]],TME[[#All],[Reporting Year]],2020,TME[[#All],[Insurance Category Code]],A46)</f>
        <v>0</v>
      </c>
      <c r="R46" s="72">
        <f>SUMIFS(TME[[#All],[Total Truncated Claims Spending]],TME[[#All],[Reporting Year]],2020,TME[[#All],[Insurance Category Code]],A46)</f>
        <v>0</v>
      </c>
      <c r="S46" s="120" t="str" cm="1">
        <f t="array" ref="S46">_xlfn.IFS(Q46=0,"NA",Q46&gt;R46,"Yes",Q46&lt;R46,"No",Q46=R46,"Equal")</f>
        <v>NA</v>
      </c>
      <c r="T46" s="159">
        <f t="shared" si="11"/>
        <v>0</v>
      </c>
      <c r="U46" s="141">
        <f>SUMIFS(TME[[#All],[Count of Members with Claims Truncated]],TME[[#All],[Reporting Year]],2021,TME[[#All],[Insurance Category Code]],A46)</f>
        <v>0</v>
      </c>
      <c r="V46" s="47" t="str" cm="1">
        <f t="array" ref="V46">_xlfn.IFS(T46=0,"NA",T46&gt;U46,"Yes",T46&lt;U46,"No")</f>
        <v>NA</v>
      </c>
      <c r="W46" s="72">
        <f>SUMIFS(TME[[#All],[Total Non-Truncated Claims Spending]],TME[[#All],[Reporting Year]],2021,TME[[#All],[Insurance Category Code]],A46)</f>
        <v>0</v>
      </c>
      <c r="X46" s="72">
        <f>SUMIFS(TME[[#All],[Total Truncated Claims Spending]],TME[[#All],[Reporting Year]],2021,TME[[#All],[Insurance Category Code]],A46)</f>
        <v>0</v>
      </c>
      <c r="Y46" s="120" t="str" cm="1">
        <f t="array" ref="Y46">_xlfn.IFS(W46=0,"NA",W46&gt;X46,"Yes",W46&lt;X46,"No",W46=X46,"Equal")</f>
        <v>NA</v>
      </c>
    </row>
    <row r="47" spans="1:33" x14ac:dyDescent="0.35">
      <c r="A47" s="90">
        <v>5</v>
      </c>
      <c r="B47" s="159">
        <f t="shared" si="8"/>
        <v>0</v>
      </c>
      <c r="C47" s="141">
        <f>SUMIFS(TME[[#All],[Count of Members with Claims Truncated]],TME[[#All],[Reporting Year]],2018,TME[[#All],[Insurance Category Code]],A47)</f>
        <v>0</v>
      </c>
      <c r="D47" s="47" t="str" cm="1">
        <f t="array" ref="D47">_xlfn.IFS(B47=0,"NA",B47&gt;C47,"Yes",B47&lt;C47,"No")</f>
        <v>NA</v>
      </c>
      <c r="E47" s="72">
        <f>SUMIFS(TME[[#All],[Total Non-Truncated Claims Spending]],TME[[#All],[Reporting Year]],2018,TME[[#All],[Insurance Category Code]],A47)</f>
        <v>0</v>
      </c>
      <c r="F47" s="72">
        <f>SUMIFS(TME[[#All],[Total Truncated Claims Spending]],TME[[#All],[Reporting Year]],2018,TME[[#All],[Insurance Category Code]],A47)</f>
        <v>0</v>
      </c>
      <c r="G47" s="90" t="str" cm="1">
        <f t="array" ref="G47">_xlfn.IFS(E47=0,"NA",E47&gt;F47,"Yes",E47&lt;F47,"No",E47=F47,"Equal")</f>
        <v>NA</v>
      </c>
      <c r="H47" s="159">
        <f t="shared" si="9"/>
        <v>0</v>
      </c>
      <c r="I47" s="141">
        <f>SUMIFS(TME[[#All],[Count of Members with Claims Truncated]],TME[[#All],[Reporting Year]],2019,TME[[#All],[Insurance Category Code]],A47)</f>
        <v>0</v>
      </c>
      <c r="J47" s="47" t="str" cm="1">
        <f t="array" ref="J47">_xlfn.IFS(H47=0,"NA",H47&gt;I47,"Yes",H47&lt;I47,"No")</f>
        <v>NA</v>
      </c>
      <c r="K47" s="72">
        <f>SUMIFS(TME[[#All],[Total Non-Truncated Claims Spending]],TME[[#All],[Reporting Year]],2019,TME[[#All],[Insurance Category Code]],A47)</f>
        <v>0</v>
      </c>
      <c r="L47" s="72">
        <f>SUMIFS(TME[[#All],[Total Truncated Claims Spending]],TME[[#All],[Reporting Year]],2019,TME[[#All],[Insurance Category Code]],A47)</f>
        <v>0</v>
      </c>
      <c r="M47" s="90" t="str" cm="1">
        <f t="array" ref="M47">_xlfn.IFS(K47=0,"NA",K47&gt;L47,"Yes",K47&lt;L47,"No",K47=L47,"Equal")</f>
        <v>NA</v>
      </c>
      <c r="N47" s="159">
        <f t="shared" si="10"/>
        <v>0</v>
      </c>
      <c r="O47" s="141">
        <f>SUMIFS(TME[[#All],[Count of Members with Claims Truncated]],TME[[#All],[Reporting Year]],2020,TME[[#All],[Insurance Category Code]],A47)</f>
        <v>0</v>
      </c>
      <c r="P47" s="47" t="str" cm="1">
        <f t="array" ref="P47">_xlfn.IFS(N47=0,"NA",N47&gt;O47,"Yes",N47&lt;O47,"No")</f>
        <v>NA</v>
      </c>
      <c r="Q47" s="72">
        <f>SUMIFS(TME[[#All],[Total Non-Truncated Claims Spending]],TME[[#All],[Reporting Year]],2020,TME[[#All],[Insurance Category Code]],A47)</f>
        <v>0</v>
      </c>
      <c r="R47" s="72">
        <f>SUMIFS(TME[[#All],[Total Truncated Claims Spending]],TME[[#All],[Reporting Year]],2020,TME[[#All],[Insurance Category Code]],A47)</f>
        <v>0</v>
      </c>
      <c r="S47" s="120" t="str" cm="1">
        <f t="array" ref="S47">_xlfn.IFS(Q47=0,"NA",Q47&gt;R47,"Yes",Q47&lt;R47,"No",Q47=R47,"Equal")</f>
        <v>NA</v>
      </c>
      <c r="T47" s="159">
        <f t="shared" si="11"/>
        <v>0</v>
      </c>
      <c r="U47" s="141">
        <f>SUMIFS(TME[[#All],[Count of Members with Claims Truncated]],TME[[#All],[Reporting Year]],2021,TME[[#All],[Insurance Category Code]],A47)</f>
        <v>0</v>
      </c>
      <c r="V47" s="47" t="str" cm="1">
        <f t="array" ref="V47">_xlfn.IFS(T47=0,"NA",T47&gt;U47,"Yes",T47&lt;U47,"No")</f>
        <v>NA</v>
      </c>
      <c r="W47" s="72">
        <f>SUMIFS(TME[[#All],[Total Non-Truncated Claims Spending]],TME[[#All],[Reporting Year]],2021,TME[[#All],[Insurance Category Code]],A47)</f>
        <v>0</v>
      </c>
      <c r="X47" s="72">
        <f>SUMIFS(TME[[#All],[Total Truncated Claims Spending]],TME[[#All],[Reporting Year]],2021,TME[[#All],[Insurance Category Code]],A47)</f>
        <v>0</v>
      </c>
      <c r="Y47" s="120" t="str" cm="1">
        <f t="array" ref="Y47">_xlfn.IFS(W47=0,"NA",W47&gt;X47,"Yes",W47&lt;X47,"No",W47=X47,"Equal")</f>
        <v>NA</v>
      </c>
    </row>
    <row r="48" spans="1:33" ht="15" thickBot="1" x14ac:dyDescent="0.4">
      <c r="A48" s="90">
        <v>6</v>
      </c>
      <c r="B48" s="160">
        <f t="shared" si="8"/>
        <v>0</v>
      </c>
      <c r="C48" s="158">
        <f>SUMIFS(TME[[#All],[Count of Members with Claims Truncated]],TME[[#All],[Reporting Year]],2018,TME[[#All],[Insurance Category Code]],A48)</f>
        <v>0</v>
      </c>
      <c r="D48" s="115" t="str" cm="1">
        <f t="array" ref="D48">_xlfn.IFS(B48=0,"NA",B48&gt;C48,"Yes",B48&lt;C48,"No")</f>
        <v>NA</v>
      </c>
      <c r="E48" s="114">
        <f>SUMIFS(TME[[#All],[Total Non-Truncated Claims Spending]],TME[[#All],[Reporting Year]],2018,TME[[#All],[Insurance Category Code]],A48)</f>
        <v>0</v>
      </c>
      <c r="F48" s="114">
        <f>SUMIFS(TME[[#All],[Total Truncated Claims Spending]],TME[[#All],[Reporting Year]],2018,TME[[#All],[Insurance Category Code]],A48)</f>
        <v>0</v>
      </c>
      <c r="G48" s="164" t="str" cm="1">
        <f t="array" ref="G48">_xlfn.IFS(E48=0,"NA",E48&gt;F48,"Yes",E48&lt;F48,"No",E48=F48,"Equal")</f>
        <v>NA</v>
      </c>
      <c r="H48" s="160">
        <f t="shared" si="9"/>
        <v>0</v>
      </c>
      <c r="I48" s="158">
        <f>SUMIFS(TME[[#All],[Count of Members with Claims Truncated]],TME[[#All],[Reporting Year]],2019,TME[[#All],[Insurance Category Code]],A48)</f>
        <v>0</v>
      </c>
      <c r="J48" s="115" t="str" cm="1">
        <f t="array" ref="J48">_xlfn.IFS(H48=0,"NA",H48&gt;I48,"Yes",H48&lt;I48,"No")</f>
        <v>NA</v>
      </c>
      <c r="K48" s="114">
        <f>SUMIFS(TME[[#All],[Total Non-Truncated Claims Spending]],TME[[#All],[Reporting Year]],2019,TME[[#All],[Insurance Category Code]],A48)</f>
        <v>0</v>
      </c>
      <c r="L48" s="114">
        <f>SUMIFS(TME[[#All],[Total Truncated Claims Spending]],TME[[#All],[Reporting Year]],2019,TME[[#All],[Insurance Category Code]],A48)</f>
        <v>0</v>
      </c>
      <c r="M48" s="164" t="str" cm="1">
        <f t="array" ref="M48">_xlfn.IFS(K48=0,"NA",K48&gt;L48,"Yes",K48&lt;L48,"No",K48=L48,"Equal")</f>
        <v>NA</v>
      </c>
      <c r="N48" s="160">
        <f t="shared" si="10"/>
        <v>0</v>
      </c>
      <c r="O48" s="158">
        <f>SUMIFS(TME[[#All],[Count of Members with Claims Truncated]],TME[[#All],[Reporting Year]],2020,TME[[#All],[Insurance Category Code]],A48)</f>
        <v>0</v>
      </c>
      <c r="P48" s="115" t="str" cm="1">
        <f t="array" ref="P48">_xlfn.IFS(N48=0,"NA",N48&gt;O48,"Yes",N48&lt;O48,"No")</f>
        <v>NA</v>
      </c>
      <c r="Q48" s="114">
        <f>SUMIFS(TME[[#All],[Total Non-Truncated Claims Spending]],TME[[#All],[Reporting Year]],2020,TME[[#All],[Insurance Category Code]],A48)</f>
        <v>0</v>
      </c>
      <c r="R48" s="114">
        <f>SUMIFS(TME[[#All],[Total Truncated Claims Spending]],TME[[#All],[Reporting Year]],2020,TME[[#All],[Insurance Category Code]],A48)</f>
        <v>0</v>
      </c>
      <c r="S48" s="121" t="str" cm="1">
        <f t="array" ref="S48">_xlfn.IFS(Q48=0,"NA",Q48&gt;R48,"Yes",Q48&lt;R48,"No",Q48=R48,"Equal")</f>
        <v>NA</v>
      </c>
      <c r="T48" s="160">
        <f t="shared" si="11"/>
        <v>0</v>
      </c>
      <c r="U48" s="158">
        <f>SUMIFS(TME[[#All],[Count of Members with Claims Truncated]],TME[[#All],[Reporting Year]],2021,TME[[#All],[Insurance Category Code]],A48)</f>
        <v>0</v>
      </c>
      <c r="V48" s="115" t="str" cm="1">
        <f t="array" ref="V48">_xlfn.IFS(T48=0,"NA",T48&gt;U48,"Yes",T48&lt;U48,"No")</f>
        <v>NA</v>
      </c>
      <c r="W48" s="114">
        <f>SUMIFS(TME[[#All],[Total Non-Truncated Claims Spending]],TME[[#All],[Reporting Year]],2021,TME[[#All],[Insurance Category Code]],A48)</f>
        <v>0</v>
      </c>
      <c r="X48" s="114">
        <f>SUMIFS(TME[[#All],[Total Truncated Claims Spending]],TME[[#All],[Reporting Year]],2021,TME[[#All],[Insurance Category Code]],A48)</f>
        <v>0</v>
      </c>
      <c r="Y48" s="121" t="str" cm="1">
        <f t="array" ref="Y48">_xlfn.IFS(W48=0,"NA",W48&gt;X48,"Yes",W48&lt;X48,"No",W48=X48,"Equal")</f>
        <v>NA</v>
      </c>
    </row>
    <row r="51" spans="1:41" x14ac:dyDescent="0.35">
      <c r="A51" s="71" t="s">
        <v>301</v>
      </c>
    </row>
    <row r="52" spans="1:41" ht="15" thickBot="1" x14ac:dyDescent="0.4">
      <c r="A52" s="70" t="s">
        <v>296</v>
      </c>
    </row>
    <row r="53" spans="1:41" x14ac:dyDescent="0.35">
      <c r="A53" s="200" t="s">
        <v>20</v>
      </c>
      <c r="B53" s="197">
        <v>2018</v>
      </c>
      <c r="C53" s="198"/>
      <c r="D53" s="198"/>
      <c r="E53" s="198"/>
      <c r="F53" s="198"/>
      <c r="G53" s="198"/>
      <c r="H53" s="198"/>
      <c r="I53" s="198"/>
      <c r="J53" s="198"/>
      <c r="K53" s="199"/>
      <c r="L53" s="197">
        <v>2019</v>
      </c>
      <c r="M53" s="198"/>
      <c r="N53" s="198"/>
      <c r="O53" s="198"/>
      <c r="P53" s="198"/>
      <c r="Q53" s="198"/>
      <c r="R53" s="198"/>
      <c r="S53" s="198"/>
      <c r="T53" s="198"/>
      <c r="U53" s="199"/>
      <c r="V53" s="197">
        <v>2020</v>
      </c>
      <c r="W53" s="198"/>
      <c r="X53" s="198"/>
      <c r="Y53" s="198"/>
      <c r="Z53" s="198"/>
      <c r="AA53" s="198"/>
      <c r="AB53" s="198"/>
      <c r="AC53" s="198"/>
      <c r="AD53" s="198"/>
      <c r="AE53" s="199"/>
      <c r="AF53" s="197">
        <v>2021</v>
      </c>
      <c r="AG53" s="198"/>
      <c r="AH53" s="198"/>
      <c r="AI53" s="198"/>
      <c r="AJ53" s="198"/>
      <c r="AK53" s="198"/>
      <c r="AL53" s="198"/>
      <c r="AM53" s="198"/>
      <c r="AN53" s="198"/>
      <c r="AO53" s="199"/>
    </row>
    <row r="54" spans="1:41" ht="73.5" customHeight="1" x14ac:dyDescent="0.35">
      <c r="A54" s="201"/>
      <c r="B54" s="118" t="s">
        <v>108</v>
      </c>
      <c r="C54" s="77" t="s">
        <v>91</v>
      </c>
      <c r="D54" s="77" t="s">
        <v>92</v>
      </c>
      <c r="E54" s="77" t="s">
        <v>93</v>
      </c>
      <c r="F54" s="77" t="s">
        <v>94</v>
      </c>
      <c r="G54" s="77" t="s">
        <v>95</v>
      </c>
      <c r="H54" s="77" t="s">
        <v>96</v>
      </c>
      <c r="I54" s="77" t="s">
        <v>97</v>
      </c>
      <c r="J54" s="77" t="s">
        <v>98</v>
      </c>
      <c r="K54" s="119" t="s">
        <v>303</v>
      </c>
      <c r="L54" s="118" t="s">
        <v>108</v>
      </c>
      <c r="M54" s="77" t="s">
        <v>91</v>
      </c>
      <c r="N54" s="77" t="s">
        <v>92</v>
      </c>
      <c r="O54" s="77" t="s">
        <v>93</v>
      </c>
      <c r="P54" s="77" t="s">
        <v>94</v>
      </c>
      <c r="Q54" s="77" t="s">
        <v>95</v>
      </c>
      <c r="R54" s="77" t="s">
        <v>96</v>
      </c>
      <c r="S54" s="77" t="s">
        <v>97</v>
      </c>
      <c r="T54" s="77" t="s">
        <v>98</v>
      </c>
      <c r="U54" s="119" t="s">
        <v>303</v>
      </c>
      <c r="V54" s="118" t="s">
        <v>108</v>
      </c>
      <c r="W54" s="77" t="s">
        <v>91</v>
      </c>
      <c r="X54" s="77" t="s">
        <v>92</v>
      </c>
      <c r="Y54" s="77" t="s">
        <v>93</v>
      </c>
      <c r="Z54" s="77" t="s">
        <v>94</v>
      </c>
      <c r="AA54" s="77" t="s">
        <v>95</v>
      </c>
      <c r="AB54" s="77" t="s">
        <v>96</v>
      </c>
      <c r="AC54" s="77" t="s">
        <v>97</v>
      </c>
      <c r="AD54" s="77" t="s">
        <v>98</v>
      </c>
      <c r="AE54" s="119" t="s">
        <v>303</v>
      </c>
      <c r="AF54" s="118" t="s">
        <v>108</v>
      </c>
      <c r="AG54" s="77" t="s">
        <v>91</v>
      </c>
      <c r="AH54" s="77" t="s">
        <v>92</v>
      </c>
      <c r="AI54" s="77" t="s">
        <v>93</v>
      </c>
      <c r="AJ54" s="77" t="s">
        <v>94</v>
      </c>
      <c r="AK54" s="77" t="s">
        <v>95</v>
      </c>
      <c r="AL54" s="77" t="s">
        <v>96</v>
      </c>
      <c r="AM54" s="77" t="s">
        <v>97</v>
      </c>
      <c r="AN54" s="77" t="s">
        <v>98</v>
      </c>
      <c r="AO54" s="119" t="s">
        <v>303</v>
      </c>
    </row>
    <row r="55" spans="1:41" x14ac:dyDescent="0.35">
      <c r="A55" s="90">
        <v>1</v>
      </c>
      <c r="B55" s="175" t="str">
        <f>IF(B20&lt;&gt;0,((SUMIFS(TME[[#All],[Total Non-Truncated Claims and Non-Claims Spending]],TME[[#All],[Reporting Year]],2018,TME[[#All],[Insurance Category Code]],'Data Validation Checks'!A55))/'Data Validation Checks'!B20),"NA")</f>
        <v>NA</v>
      </c>
      <c r="C55" s="152" t="str">
        <f>IF(B20&lt;&gt;0,((SUMIFS(TME[[#All],[Claims: Hospital Inpatient]],TME[[#All],[Reporting Year]],2018,TME[[#All],[Insurance Category Code]],'Data Validation Checks'!A55))/'Data Validation Checks'!B20),"NA")</f>
        <v>NA</v>
      </c>
      <c r="D55" s="152" t="str">
        <f>IF(B20&lt;&gt;0,((SUMIFS(TME[[#All],[Claims: Hospital Outpatient]],TME[[#All],[Reporting Year]],2018,TME[[#All],[Insurance Category Code]],'Data Validation Checks'!A55))/'Data Validation Checks'!B20),"NA")</f>
        <v>NA</v>
      </c>
      <c r="E55" s="152" t="str">
        <f>IF(B20&lt;&gt;0,((SUMIFS(TME[[#All],[Claims: Professional, Primary Care Providers]],TME[[#All],[Reporting Year]],2018,TME[[#All],[Insurance Category Code]],'Data Validation Checks'!A55))/'Data Validation Checks'!B20),"NA")</f>
        <v>NA</v>
      </c>
      <c r="F55" s="152" t="str">
        <f>IF(B20&lt;&gt;0,((SUMIFS(TME[[#All],[Claims: Professional, Specialty Providers]],TME[[#All],[Reporting Year]],2018,TME[[#All],[Insurance Category Code]],'Data Validation Checks'!A55))/'Data Validation Checks'!B20),"NA")</f>
        <v>NA</v>
      </c>
      <c r="G55" s="152" t="str">
        <f>IF(B20&lt;&gt;0,((SUMIFS(TME[[#All],[Claims: Professional, Other Providers]],TME[[#All],[Reporting Year]],2018,TME[[#All],[Insurance Category Code]],'Data Validation Checks'!A55))/'Data Validation Checks'!B20),"NA")</f>
        <v>NA</v>
      </c>
      <c r="H55" s="152" t="str">
        <f>IF(B20&lt;&gt;0,((SUMIFS(TME[[#All],[Claims: Long-Term Care]],TME[[#All],[Reporting Year]],2018,TME[[#All],[Insurance Category Code]],'Data Validation Checks'!A55))/'Data Validation Checks'!B20),"NA")</f>
        <v>NA</v>
      </c>
      <c r="I55" s="152" t="str">
        <f>IF(B20&lt;&gt;0,((SUMIFS(TME[[#All],[Claims: Retail Pharmacy]],TME[[#All],[Reporting Year]],2018,TME[[#All],[Insurance Category Code]],'Data Validation Checks'!A55))/'Data Validation Checks'!B20),"NA")</f>
        <v>NA</v>
      </c>
      <c r="J55" s="152" t="str">
        <f>IF(B20&lt;&gt;0,((SUMIFS(TME[[#All],[Claims: Other]],TME[[#All],[Reporting Year]],2018,TME[[#All],[Insurance Category Code]],'Data Validation Checks'!A55))/'Data Validation Checks'!B20),"NA")</f>
        <v>NA</v>
      </c>
      <c r="K55" s="176" t="str">
        <f>IF(B20&lt;&gt;0,((SUMIFS(TME[[#All],[Total Non-Claims Spending]],TME[[#All],[Reporting Year]],2018,TME[[#All],[Insurance Category Code]],'Data Validation Checks'!A55))/'Data Validation Checks'!B20),"NA")</f>
        <v>NA</v>
      </c>
      <c r="L55" s="175" t="str">
        <f>IF(C20&lt;&gt;0,((SUMIFS(TME[[#All],[Total Non-Truncated Claims and Non-Claims Spending]],TME[[#All],[Reporting Year]],2019,TME[[#All],[Insurance Category Code]],'Data Validation Checks'!A55))/'Data Validation Checks'!C20),"NA")</f>
        <v>NA</v>
      </c>
      <c r="M55" s="152" t="str">
        <f>IF(C20&lt;&gt;0,((SUMIFS(TME[[#All],[Claims: Hospital Inpatient]],TME[[#All],[Reporting Year]],2019,TME[[#All],[Insurance Category Code]],'Data Validation Checks'!A55))/'Data Validation Checks'!C20),"NA")</f>
        <v>NA</v>
      </c>
      <c r="N55" s="152" t="str">
        <f>IF(C20&lt;&gt;0,((SUMIFS(TME[[#All],[Claims: Hospital Outpatient]],TME[[#All],[Reporting Year]],2019,TME[[#All],[Insurance Category Code]],'Data Validation Checks'!A55))/'Data Validation Checks'!C20),"NA")</f>
        <v>NA</v>
      </c>
      <c r="O55" s="152" t="str">
        <f>IF(C20&lt;&gt;0,((SUMIFS(TME[[#All],[Claims: Professional, Primary Care Providers]],TME[[#All],[Reporting Year]],2019,TME[[#All],[Insurance Category Code]],'Data Validation Checks'!A55))/'Data Validation Checks'!C20),"NA")</f>
        <v>NA</v>
      </c>
      <c r="P55" s="152" t="str">
        <f>IF(C20&lt;&gt;0,((SUMIFS(TME[[#All],[Claims: Professional, Specialty Providers]],TME[[#All],[Reporting Year]],2019,TME[[#All],[Insurance Category Code]],'Data Validation Checks'!A55))/'Data Validation Checks'!C20),"NA")</f>
        <v>NA</v>
      </c>
      <c r="Q55" s="152" t="str">
        <f>IF(C20&lt;&gt;0,((SUMIFS(TME[[#All],[Claims: Professional, Other Providers]],TME[[#All],[Reporting Year]],2019,TME[[#All],[Insurance Category Code]],'Data Validation Checks'!A55))/'Data Validation Checks'!C20),"NA")</f>
        <v>NA</v>
      </c>
      <c r="R55" s="152" t="str">
        <f>IF(C20&lt;&gt;0,((SUMIFS(TME[[#All],[Claims: Long-Term Care]],TME[[#All],[Reporting Year]],2019,TME[[#All],[Insurance Category Code]],'Data Validation Checks'!A55))/'Data Validation Checks'!C20),"NA")</f>
        <v>NA</v>
      </c>
      <c r="S55" s="152" t="str">
        <f>IF(C20&lt;&gt;0,((SUMIFS(TME[[#All],[Claims: Retail Pharmacy]],TME[[#All],[Reporting Year]],2019,TME[[#All],[Insurance Category Code]],'Data Validation Checks'!A55))/'Data Validation Checks'!C20),"NA")</f>
        <v>NA</v>
      </c>
      <c r="T55" s="152" t="str">
        <f>IF(C20&lt;&gt;0,((SUMIFS(TME[[#All],[Claims: Other]],TME[[#All],[Reporting Year]],2019,TME[[#All],[Insurance Category Code]],'Data Validation Checks'!A55))/'Data Validation Checks'!C20),"NA")</f>
        <v>NA</v>
      </c>
      <c r="U55" s="176" t="str">
        <f>IF(C20&lt;&gt;0,((SUMIFS(TME[[#All],[Total Non-Claims Spending]],TME[[#All],[Reporting Year]],2019,TME[[#All],[Insurance Category Code]],'Data Validation Checks'!A55))/'Data Validation Checks'!C20),"NA")</f>
        <v>NA</v>
      </c>
      <c r="V55" s="175" t="str">
        <f>IF(D20&lt;&gt;0,((SUMIFS(TME[[#All],[Total Non-Truncated Claims and Non-Claims Spending]],TME[[#All],[Reporting Year]],2020,TME[[#All],[Insurance Category Code]],'Data Validation Checks'!A55))/'Data Validation Checks'!D20),"NA")</f>
        <v>NA</v>
      </c>
      <c r="W55" s="152" t="str">
        <f>IF(D20&lt;&gt;0,((SUMIFS(TME[[#All],[Claims: Hospital Inpatient]],TME[[#All],[Reporting Year]],2020,TME[[#All],[Insurance Category Code]],'Data Validation Checks'!A55))/'Data Validation Checks'!D20),"NA")</f>
        <v>NA</v>
      </c>
      <c r="X55" s="152" t="str">
        <f>IF(D20&lt;&gt;0,((SUMIFS(TME[[#All],[Claims: Hospital Outpatient]],TME[[#All],[Reporting Year]],2020,TME[[#All],[Insurance Category Code]],'Data Validation Checks'!A55))/'Data Validation Checks'!D20),"NA")</f>
        <v>NA</v>
      </c>
      <c r="Y55" s="152" t="str">
        <f>IF(D20&lt;&gt;0,((SUMIFS(TME[[#All],[Claims: Professional, Primary Care Providers]],TME[[#All],[Reporting Year]],2020,TME[[#All],[Insurance Category Code]],'Data Validation Checks'!A55))/'Data Validation Checks'!D20),"NA")</f>
        <v>NA</v>
      </c>
      <c r="Z55" s="152" t="str">
        <f>IF(D20&lt;&gt;0,((SUMIFS(TME[[#All],[Claims: Professional, Specialty Providers]],TME[[#All],[Reporting Year]],2020,TME[[#All],[Insurance Category Code]],'Data Validation Checks'!A55))/'Data Validation Checks'!D20),"NA")</f>
        <v>NA</v>
      </c>
      <c r="AA55" s="152" t="str">
        <f>IF(D20&lt;&gt;0,((SUMIFS(TME[[#All],[Claims: Professional, Other Providers]],TME[[#All],[Reporting Year]],2020,TME[[#All],[Insurance Category Code]],'Data Validation Checks'!A55))/'Data Validation Checks'!D20),"NA")</f>
        <v>NA</v>
      </c>
      <c r="AB55" s="152" t="str">
        <f>IF(D20&lt;&gt;0,((SUMIFS(TME[[#All],[Claims: Long-Term Care]],TME[[#All],[Reporting Year]],2020,TME[[#All],[Insurance Category Code]],'Data Validation Checks'!A55))/'Data Validation Checks'!D20),"NA")</f>
        <v>NA</v>
      </c>
      <c r="AC55" s="152" t="str">
        <f>IF(D20&lt;&gt;0,((SUMIFS(TME[[#All],[Claims: Retail Pharmacy]],TME[[#All],[Reporting Year]],2020,TME[[#All],[Insurance Category Code]],'Data Validation Checks'!A55))/'Data Validation Checks'!D20),"NA")</f>
        <v>NA</v>
      </c>
      <c r="AD55" s="152" t="str">
        <f>IF(D20&lt;&gt;0,((SUMIFS(TME[[#All],[Claims: Other]],TME[[#All],[Reporting Year]],2020,TME[[#All],[Insurance Category Code]],'Data Validation Checks'!A55))/'Data Validation Checks'!D20),"NA")</f>
        <v>NA</v>
      </c>
      <c r="AE55" s="176" t="str">
        <f>IF(D20&lt;&gt;0,((SUMIFS(TME[[#All],[Total Non-Claims Spending]],TME[[#All],[Reporting Year]],2020,TME[[#All],[Insurance Category Code]],'Data Validation Checks'!A55))/'Data Validation Checks'!D20),"NA")</f>
        <v>NA</v>
      </c>
      <c r="AF55" s="175" t="str">
        <f>IF(E20&lt;&gt;0,((SUMIFS(TME[[#All],[Total Non-Truncated Claims and Non-Claims Spending]],TME[[#All],[Reporting Year]],2021,TME[[#All],[Insurance Category Code]],'Data Validation Checks'!A55))/'Data Validation Checks'!E20),"NA")</f>
        <v>NA</v>
      </c>
      <c r="AG55" s="152" t="str">
        <f>IF(E20&lt;&gt;0,((SUMIFS(TME[[#All],[Claims: Hospital Inpatient]],TME[[#All],[Reporting Year]],2021,TME[[#All],[Insurance Category Code]],'Data Validation Checks'!A55))/'Data Validation Checks'!E20),"NA")</f>
        <v>NA</v>
      </c>
      <c r="AH55" s="152" t="str">
        <f>IF(E20&lt;&gt;0,((SUMIFS(TME[[#All],[Claims: Hospital Outpatient]],TME[[#All],[Reporting Year]],2021,TME[[#All],[Insurance Category Code]],'Data Validation Checks'!A55))/'Data Validation Checks'!E20),"NA")</f>
        <v>NA</v>
      </c>
      <c r="AI55" s="152" t="str">
        <f>IF(E20&lt;&gt;0,((SUMIFS(TME[[#All],[Claims: Professional, Primary Care Providers]],TME[[#All],[Reporting Year]],2021,TME[[#All],[Insurance Category Code]],'Data Validation Checks'!A55))/'Data Validation Checks'!E20),"NA")</f>
        <v>NA</v>
      </c>
      <c r="AJ55" s="152" t="str">
        <f>IF(E20&lt;&gt;0,((SUMIFS(TME[[#All],[Claims: Professional, Specialty Providers]],TME[[#All],[Reporting Year]],2021,TME[[#All],[Insurance Category Code]],'Data Validation Checks'!A55))/'Data Validation Checks'!E20),"NA")</f>
        <v>NA</v>
      </c>
      <c r="AK55" s="152" t="str">
        <f>IF(E20&lt;&gt;0,((SUMIFS(TME[[#All],[Claims: Professional, Other Providers]],TME[[#All],[Reporting Year]],2021,TME[[#All],[Insurance Category Code]],'Data Validation Checks'!A55))/'Data Validation Checks'!E20),"NA")</f>
        <v>NA</v>
      </c>
      <c r="AL55" s="152" t="str">
        <f>IF(E20&lt;&gt;0,((SUMIFS(TME[[#All],[Claims: Long-Term Care]],TME[[#All],[Reporting Year]],2021,TME[[#All],[Insurance Category Code]],'Data Validation Checks'!A55))/'Data Validation Checks'!E20),"NA")</f>
        <v>NA</v>
      </c>
      <c r="AM55" s="152" t="str">
        <f>IF(E20&lt;&gt;0,((SUMIFS(TME[[#All],[Claims: Retail Pharmacy]],TME[[#All],[Reporting Year]],2021,TME[[#All],[Insurance Category Code]],'Data Validation Checks'!A55))/'Data Validation Checks'!E20),"NA")</f>
        <v>NA</v>
      </c>
      <c r="AN55" s="152" t="str">
        <f>IF(E20&lt;&gt;0,((SUMIFS(TME[[#All],[Claims: Other]],TME[[#All],[Reporting Year]],2021,TME[[#All],[Insurance Category Code]],'Data Validation Checks'!A55))/'Data Validation Checks'!E20),"NA")</f>
        <v>NA</v>
      </c>
      <c r="AO55" s="176" t="str">
        <f>IF(E20&lt;&gt;0,((SUMIFS(TME[[#All],[Total Non-Claims Spending]],TME[[#All],[Reporting Year]],2021,TME[[#All],[Insurance Category Code]],'Data Validation Checks'!A55))/'Data Validation Checks'!E20),"NA")</f>
        <v>NA</v>
      </c>
    </row>
    <row r="56" spans="1:41" x14ac:dyDescent="0.35">
      <c r="A56" s="90">
        <v>2</v>
      </c>
      <c r="B56" s="175" t="str">
        <f>IF(B21&lt;&gt;0,((SUMIFS(TME[[#All],[Total Non-Truncated Claims and Non-Claims Spending]],TME[[#All],[Reporting Year]],2018,TME[[#All],[Insurance Category Code]],'Data Validation Checks'!A56))/'Data Validation Checks'!B21),"NA")</f>
        <v>NA</v>
      </c>
      <c r="C56" s="152" t="str">
        <f>IF(B21&lt;&gt;0,((SUMIFS(TME[[#All],[Claims: Hospital Inpatient]],TME[[#All],[Reporting Year]],2018,TME[[#All],[Insurance Category Code]],'Data Validation Checks'!A56))/'Data Validation Checks'!B21),"NA")</f>
        <v>NA</v>
      </c>
      <c r="D56" s="152" t="str">
        <f>IF(B21&lt;&gt;0,((SUMIFS(TME[[#All],[Claims: Hospital Outpatient]],TME[[#All],[Reporting Year]],2018,TME[[#All],[Insurance Category Code]],'Data Validation Checks'!A56))/'Data Validation Checks'!B21),"NA")</f>
        <v>NA</v>
      </c>
      <c r="E56" s="152" t="str">
        <f>IF(B21&lt;&gt;0,((SUMIFS(TME[[#All],[Claims: Professional, Primary Care Providers]],TME[[#All],[Reporting Year]],2018,TME[[#All],[Insurance Category Code]],'Data Validation Checks'!A56))/'Data Validation Checks'!B21),"NA")</f>
        <v>NA</v>
      </c>
      <c r="F56" s="152" t="str">
        <f>IF(B21&lt;&gt;0,((SUMIFS(TME[[#All],[Claims: Professional, Specialty Providers]],TME[[#All],[Reporting Year]],2018,TME[[#All],[Insurance Category Code]],'Data Validation Checks'!A56))/'Data Validation Checks'!B21),"NA")</f>
        <v>NA</v>
      </c>
      <c r="G56" s="152" t="str">
        <f>IF(B21&lt;&gt;0,((SUMIFS(TME[[#All],[Claims: Professional, Other Providers]],TME[[#All],[Reporting Year]],2018,TME[[#All],[Insurance Category Code]],'Data Validation Checks'!A56))/'Data Validation Checks'!B21),"NA")</f>
        <v>NA</v>
      </c>
      <c r="H56" s="152" t="str">
        <f>IF(B21&lt;&gt;0,((SUMIFS(TME[[#All],[Claims: Long-Term Care]],TME[[#All],[Reporting Year]],2018,TME[[#All],[Insurance Category Code]],'Data Validation Checks'!A56))/'Data Validation Checks'!B21),"NA")</f>
        <v>NA</v>
      </c>
      <c r="I56" s="152" t="str">
        <f>IF(B21&lt;&gt;0,((SUMIFS(TME[[#All],[Claims: Retail Pharmacy]],TME[[#All],[Reporting Year]],2018,TME[[#All],[Insurance Category Code]],'Data Validation Checks'!A56))/'Data Validation Checks'!B21),"NA")</f>
        <v>NA</v>
      </c>
      <c r="J56" s="152" t="str">
        <f>IF(B21&lt;&gt;0,((SUMIFS(TME[[#All],[Claims: Other]],TME[[#All],[Reporting Year]],2018,TME[[#All],[Insurance Category Code]],'Data Validation Checks'!A56))/'Data Validation Checks'!B21),"NA")</f>
        <v>NA</v>
      </c>
      <c r="K56" s="176" t="str">
        <f>IF(B21&lt;&gt;0,((SUMIFS(TME[[#All],[Total Non-Claims Spending]],TME[[#All],[Reporting Year]],2018,TME[[#All],[Insurance Category Code]],'Data Validation Checks'!A56))/'Data Validation Checks'!B21),"NA")</f>
        <v>NA</v>
      </c>
      <c r="L56" s="175" t="str">
        <f>IF(C21&lt;&gt;0,((SUMIFS(TME[[#All],[Total Non-Truncated Claims and Non-Claims Spending]],TME[[#All],[Reporting Year]],2019,TME[[#All],[Insurance Category Code]],'Data Validation Checks'!A56))/'Data Validation Checks'!C21),"NA")</f>
        <v>NA</v>
      </c>
      <c r="M56" s="152" t="str">
        <f>IF(C21&lt;&gt;0,((SUMIFS(TME[[#All],[Claims: Hospital Inpatient]],TME[[#All],[Reporting Year]],2019,TME[[#All],[Insurance Category Code]],'Data Validation Checks'!A56))/'Data Validation Checks'!C21),"NA")</f>
        <v>NA</v>
      </c>
      <c r="N56" s="152" t="str">
        <f>IF(C21&lt;&gt;0,((SUMIFS(TME[[#All],[Claims: Hospital Outpatient]],TME[[#All],[Reporting Year]],2019,TME[[#All],[Insurance Category Code]],'Data Validation Checks'!A56))/'Data Validation Checks'!C21),"NA")</f>
        <v>NA</v>
      </c>
      <c r="O56" s="152" t="str">
        <f>IF(C21&lt;&gt;0,((SUMIFS(TME[[#All],[Claims: Professional, Primary Care Providers]],TME[[#All],[Reporting Year]],2019,TME[[#All],[Insurance Category Code]],'Data Validation Checks'!A56))/'Data Validation Checks'!C21),"NA")</f>
        <v>NA</v>
      </c>
      <c r="P56" s="152" t="str">
        <f>IF(C21&lt;&gt;0,((SUMIFS(TME[[#All],[Claims: Professional, Specialty Providers]],TME[[#All],[Reporting Year]],2019,TME[[#All],[Insurance Category Code]],'Data Validation Checks'!A56))/'Data Validation Checks'!C21),"NA")</f>
        <v>NA</v>
      </c>
      <c r="Q56" s="152" t="str">
        <f>IF(C21&lt;&gt;0,((SUMIFS(TME[[#All],[Claims: Professional, Other Providers]],TME[[#All],[Reporting Year]],2019,TME[[#All],[Insurance Category Code]],'Data Validation Checks'!A56))/'Data Validation Checks'!C21),"NA")</f>
        <v>NA</v>
      </c>
      <c r="R56" s="152" t="str">
        <f>IF(C21&lt;&gt;0,((SUMIFS(TME[[#All],[Claims: Long-Term Care]],TME[[#All],[Reporting Year]],2019,TME[[#All],[Insurance Category Code]],'Data Validation Checks'!A56))/'Data Validation Checks'!C21),"NA")</f>
        <v>NA</v>
      </c>
      <c r="S56" s="152" t="str">
        <f>IF(C21&lt;&gt;0,((SUMIFS(TME[[#All],[Claims: Retail Pharmacy]],TME[[#All],[Reporting Year]],2019,TME[[#All],[Insurance Category Code]],'Data Validation Checks'!A56))/'Data Validation Checks'!C21),"NA")</f>
        <v>NA</v>
      </c>
      <c r="T56" s="152" t="str">
        <f>IF(C21&lt;&gt;0,((SUMIFS(TME[[#All],[Claims: Other]],TME[[#All],[Reporting Year]],2019,TME[[#All],[Insurance Category Code]],'Data Validation Checks'!A56))/'Data Validation Checks'!C21),"NA")</f>
        <v>NA</v>
      </c>
      <c r="U56" s="176" t="str">
        <f>IF(C21&lt;&gt;0,((SUMIFS(TME[[#All],[Total Non-Claims Spending]],TME[[#All],[Reporting Year]],2019,TME[[#All],[Insurance Category Code]],'Data Validation Checks'!A56))/'Data Validation Checks'!C21),"NA")</f>
        <v>NA</v>
      </c>
      <c r="V56" s="175" t="str">
        <f>IF(D21&lt;&gt;0,((SUMIFS(TME[[#All],[Total Non-Truncated Claims and Non-Claims Spending]],TME[[#All],[Reporting Year]],2020,TME[[#All],[Insurance Category Code]],'Data Validation Checks'!A56))/'Data Validation Checks'!D21),"NA")</f>
        <v>NA</v>
      </c>
      <c r="W56" s="152" t="str">
        <f>IF(D21&lt;&gt;0,((SUMIFS(TME[[#All],[Claims: Hospital Inpatient]],TME[[#All],[Reporting Year]],2020,TME[[#All],[Insurance Category Code]],'Data Validation Checks'!A56))/'Data Validation Checks'!D21),"NA")</f>
        <v>NA</v>
      </c>
      <c r="X56" s="152" t="str">
        <f>IF(D21&lt;&gt;0,((SUMIFS(TME[[#All],[Claims: Hospital Outpatient]],TME[[#All],[Reporting Year]],2020,TME[[#All],[Insurance Category Code]],'Data Validation Checks'!A56))/'Data Validation Checks'!D21),"NA")</f>
        <v>NA</v>
      </c>
      <c r="Y56" s="152" t="str">
        <f>IF(D21&lt;&gt;0,((SUMIFS(TME[[#All],[Claims: Professional, Primary Care Providers]],TME[[#All],[Reporting Year]],2020,TME[[#All],[Insurance Category Code]],'Data Validation Checks'!A56))/'Data Validation Checks'!D21),"NA")</f>
        <v>NA</v>
      </c>
      <c r="Z56" s="152" t="str">
        <f>IF(D21&lt;&gt;0,((SUMIFS(TME[[#All],[Claims: Professional, Specialty Providers]],TME[[#All],[Reporting Year]],2020,TME[[#All],[Insurance Category Code]],'Data Validation Checks'!A56))/'Data Validation Checks'!D21),"NA")</f>
        <v>NA</v>
      </c>
      <c r="AA56" s="152" t="str">
        <f>IF(D21&lt;&gt;0,((SUMIFS(TME[[#All],[Claims: Professional, Other Providers]],TME[[#All],[Reporting Year]],2020,TME[[#All],[Insurance Category Code]],'Data Validation Checks'!A56))/'Data Validation Checks'!D21),"NA")</f>
        <v>NA</v>
      </c>
      <c r="AB56" s="152" t="str">
        <f>IF(D21&lt;&gt;0,((SUMIFS(TME[[#All],[Claims: Long-Term Care]],TME[[#All],[Reporting Year]],2020,TME[[#All],[Insurance Category Code]],'Data Validation Checks'!A56))/'Data Validation Checks'!D21),"NA")</f>
        <v>NA</v>
      </c>
      <c r="AC56" s="152" t="str">
        <f>IF(D21&lt;&gt;0,((SUMIFS(TME[[#All],[Claims: Retail Pharmacy]],TME[[#All],[Reporting Year]],2020,TME[[#All],[Insurance Category Code]],'Data Validation Checks'!A56))/'Data Validation Checks'!D21),"NA")</f>
        <v>NA</v>
      </c>
      <c r="AD56" s="152" t="str">
        <f>IF(D21&lt;&gt;0,((SUMIFS(TME[[#All],[Claims: Other]],TME[[#All],[Reporting Year]],2020,TME[[#All],[Insurance Category Code]],'Data Validation Checks'!A56))/'Data Validation Checks'!D21),"NA")</f>
        <v>NA</v>
      </c>
      <c r="AE56" s="176" t="str">
        <f>IF(D21&lt;&gt;0,((SUMIFS(TME[[#All],[Total Non-Claims Spending]],TME[[#All],[Reporting Year]],2020,TME[[#All],[Insurance Category Code]],'Data Validation Checks'!A56))/'Data Validation Checks'!D21),"NA")</f>
        <v>NA</v>
      </c>
      <c r="AF56" s="175" t="str">
        <f>IF(E21&lt;&gt;0,((SUMIFS(TME[[#All],[Total Non-Truncated Claims and Non-Claims Spending]],TME[[#All],[Reporting Year]],2021,TME[[#All],[Insurance Category Code]],'Data Validation Checks'!A56))/'Data Validation Checks'!E21),"NA")</f>
        <v>NA</v>
      </c>
      <c r="AG56" s="152" t="str">
        <f>IF(E21&lt;&gt;0,((SUMIFS(TME[[#All],[Claims: Hospital Inpatient]],TME[[#All],[Reporting Year]],2021,TME[[#All],[Insurance Category Code]],'Data Validation Checks'!A56))/'Data Validation Checks'!E21),"NA")</f>
        <v>NA</v>
      </c>
      <c r="AH56" s="152" t="str">
        <f>IF(E21&lt;&gt;0,((SUMIFS(TME[[#All],[Claims: Hospital Outpatient]],TME[[#All],[Reporting Year]],2021,TME[[#All],[Insurance Category Code]],'Data Validation Checks'!A56))/'Data Validation Checks'!E21),"NA")</f>
        <v>NA</v>
      </c>
      <c r="AI56" s="152" t="str">
        <f>IF(E21&lt;&gt;0,((SUMIFS(TME[[#All],[Claims: Professional, Primary Care Providers]],TME[[#All],[Reporting Year]],2021,TME[[#All],[Insurance Category Code]],'Data Validation Checks'!A56))/'Data Validation Checks'!E21),"NA")</f>
        <v>NA</v>
      </c>
      <c r="AJ56" s="152" t="str">
        <f>IF(E21&lt;&gt;0,((SUMIFS(TME[[#All],[Claims: Professional, Specialty Providers]],TME[[#All],[Reporting Year]],2021,TME[[#All],[Insurance Category Code]],'Data Validation Checks'!A56))/'Data Validation Checks'!E21),"NA")</f>
        <v>NA</v>
      </c>
      <c r="AK56" s="152" t="str">
        <f>IF(E21&lt;&gt;0,((SUMIFS(TME[[#All],[Claims: Professional, Other Providers]],TME[[#All],[Reporting Year]],2021,TME[[#All],[Insurance Category Code]],'Data Validation Checks'!A56))/'Data Validation Checks'!E21),"NA")</f>
        <v>NA</v>
      </c>
      <c r="AL56" s="152" t="str">
        <f>IF(E21&lt;&gt;0,((SUMIFS(TME[[#All],[Claims: Long-Term Care]],TME[[#All],[Reporting Year]],2021,TME[[#All],[Insurance Category Code]],'Data Validation Checks'!A56))/'Data Validation Checks'!E21),"NA")</f>
        <v>NA</v>
      </c>
      <c r="AM56" s="152" t="str">
        <f>IF(E21&lt;&gt;0,((SUMIFS(TME[[#All],[Claims: Retail Pharmacy]],TME[[#All],[Reporting Year]],2021,TME[[#All],[Insurance Category Code]],'Data Validation Checks'!A56))/'Data Validation Checks'!E21),"NA")</f>
        <v>NA</v>
      </c>
      <c r="AN56" s="152" t="str">
        <f>IF(E21&lt;&gt;0,((SUMIFS(TME[[#All],[Claims: Other]],TME[[#All],[Reporting Year]],2021,TME[[#All],[Insurance Category Code]],'Data Validation Checks'!A56))/'Data Validation Checks'!E21),"NA")</f>
        <v>NA</v>
      </c>
      <c r="AO56" s="176" t="str">
        <f>IF(E21&lt;&gt;0,((SUMIFS(TME[[#All],[Total Non-Claims Spending]],TME[[#All],[Reporting Year]],2021,TME[[#All],[Insurance Category Code]],'Data Validation Checks'!A56))/'Data Validation Checks'!E21),"NA")</f>
        <v>NA</v>
      </c>
    </row>
    <row r="57" spans="1:41" x14ac:dyDescent="0.35">
      <c r="A57" s="90">
        <v>3</v>
      </c>
      <c r="B57" s="175" t="str">
        <f>IF(B22&lt;&gt;0,((SUMIFS(TME[[#All],[Total Non-Truncated Claims and Non-Claims Spending]],TME[[#All],[Reporting Year]],2018,TME[[#All],[Insurance Category Code]],'Data Validation Checks'!A57))/'Data Validation Checks'!B22),"NA")</f>
        <v>NA</v>
      </c>
      <c r="C57" s="152" t="str">
        <f>IF(B22&lt;&gt;0,((SUMIFS(TME[[#All],[Claims: Hospital Inpatient]],TME[[#All],[Reporting Year]],2018,TME[[#All],[Insurance Category Code]],'Data Validation Checks'!A57))/'Data Validation Checks'!B22),"NA")</f>
        <v>NA</v>
      </c>
      <c r="D57" s="152" t="str">
        <f>IF(B22&lt;&gt;0,((SUMIFS(TME[[#All],[Claims: Hospital Outpatient]],TME[[#All],[Reporting Year]],2018,TME[[#All],[Insurance Category Code]],'Data Validation Checks'!A57))/'Data Validation Checks'!B22),"NA")</f>
        <v>NA</v>
      </c>
      <c r="E57" s="152" t="str">
        <f>IF(B22&lt;&gt;0,((SUMIFS(TME[[#All],[Claims: Professional, Primary Care Providers]],TME[[#All],[Reporting Year]],2018,TME[[#All],[Insurance Category Code]],'Data Validation Checks'!A57))/'Data Validation Checks'!B22),"NA")</f>
        <v>NA</v>
      </c>
      <c r="F57" s="152" t="str">
        <f>IF(B22&lt;&gt;0,((SUMIFS(TME[[#All],[Claims: Professional, Specialty Providers]],TME[[#All],[Reporting Year]],2018,TME[[#All],[Insurance Category Code]],'Data Validation Checks'!A57))/'Data Validation Checks'!B22),"NA")</f>
        <v>NA</v>
      </c>
      <c r="G57" s="152" t="str">
        <f>IF(B22&lt;&gt;0,((SUMIFS(TME[[#All],[Claims: Professional, Other Providers]],TME[[#All],[Reporting Year]],2018,TME[[#All],[Insurance Category Code]],'Data Validation Checks'!A57))/'Data Validation Checks'!B22),"NA")</f>
        <v>NA</v>
      </c>
      <c r="H57" s="152" t="str">
        <f>IF(B22&lt;&gt;0,((SUMIFS(TME[[#All],[Claims: Long-Term Care]],TME[[#All],[Reporting Year]],2018,TME[[#All],[Insurance Category Code]],'Data Validation Checks'!A57))/'Data Validation Checks'!B22),"NA")</f>
        <v>NA</v>
      </c>
      <c r="I57" s="152" t="str">
        <f>IF(B22&lt;&gt;0,((SUMIFS(TME[[#All],[Claims: Retail Pharmacy]],TME[[#All],[Reporting Year]],2018,TME[[#All],[Insurance Category Code]],'Data Validation Checks'!A57))/'Data Validation Checks'!B22),"NA")</f>
        <v>NA</v>
      </c>
      <c r="J57" s="152" t="str">
        <f>IF(B22&lt;&gt;0,((SUMIFS(TME[[#All],[Claims: Other]],TME[[#All],[Reporting Year]],2018,TME[[#All],[Insurance Category Code]],'Data Validation Checks'!A57))/'Data Validation Checks'!B22),"NA")</f>
        <v>NA</v>
      </c>
      <c r="K57" s="176" t="str">
        <f>IF(B22&lt;&gt;0,((SUMIFS(TME[[#All],[Total Non-Claims Spending]],TME[[#All],[Reporting Year]],2018,TME[[#All],[Insurance Category Code]],'Data Validation Checks'!A57))/'Data Validation Checks'!B22),"NA")</f>
        <v>NA</v>
      </c>
      <c r="L57" s="175" t="str">
        <f>IF(C22&lt;&gt;0,((SUMIFS(TME[[#All],[Total Non-Truncated Claims and Non-Claims Spending]],TME[[#All],[Reporting Year]],2019,TME[[#All],[Insurance Category Code]],'Data Validation Checks'!A57))/'Data Validation Checks'!C22),"NA")</f>
        <v>NA</v>
      </c>
      <c r="M57" s="152" t="str">
        <f>IF(C22&lt;&gt;0,((SUMIFS(TME[[#All],[Claims: Hospital Inpatient]],TME[[#All],[Reporting Year]],2019,TME[[#All],[Insurance Category Code]],'Data Validation Checks'!A57))/'Data Validation Checks'!C22),"NA")</f>
        <v>NA</v>
      </c>
      <c r="N57" s="152" t="str">
        <f>IF(C22&lt;&gt;0,((SUMIFS(TME[[#All],[Claims: Hospital Outpatient]],TME[[#All],[Reporting Year]],2019,TME[[#All],[Insurance Category Code]],'Data Validation Checks'!A57))/'Data Validation Checks'!C22),"NA")</f>
        <v>NA</v>
      </c>
      <c r="O57" s="152" t="str">
        <f>IF(C22&lt;&gt;0,((SUMIFS(TME[[#All],[Claims: Professional, Primary Care Providers]],TME[[#All],[Reporting Year]],2019,TME[[#All],[Insurance Category Code]],'Data Validation Checks'!A57))/'Data Validation Checks'!C22),"NA")</f>
        <v>NA</v>
      </c>
      <c r="P57" s="152" t="str">
        <f>IF(C22&lt;&gt;0,((SUMIFS(TME[[#All],[Claims: Professional, Specialty Providers]],TME[[#All],[Reporting Year]],2019,TME[[#All],[Insurance Category Code]],'Data Validation Checks'!A57))/'Data Validation Checks'!C22),"NA")</f>
        <v>NA</v>
      </c>
      <c r="Q57" s="152" t="str">
        <f>IF(C22&lt;&gt;0,((SUMIFS(TME[[#All],[Claims: Professional, Other Providers]],TME[[#All],[Reporting Year]],2019,TME[[#All],[Insurance Category Code]],'Data Validation Checks'!A57))/'Data Validation Checks'!C22),"NA")</f>
        <v>NA</v>
      </c>
      <c r="R57" s="152" t="str">
        <f>IF(C22&lt;&gt;0,((SUMIFS(TME[[#All],[Claims: Long-Term Care]],TME[[#All],[Reporting Year]],2019,TME[[#All],[Insurance Category Code]],'Data Validation Checks'!A57))/'Data Validation Checks'!C22),"NA")</f>
        <v>NA</v>
      </c>
      <c r="S57" s="152" t="str">
        <f>IF(C22&lt;&gt;0,((SUMIFS(TME[[#All],[Claims: Retail Pharmacy]],TME[[#All],[Reporting Year]],2019,TME[[#All],[Insurance Category Code]],'Data Validation Checks'!A57))/'Data Validation Checks'!C22),"NA")</f>
        <v>NA</v>
      </c>
      <c r="T57" s="152" t="str">
        <f>IF(C22&lt;&gt;0,((SUMIFS(TME[[#All],[Claims: Other]],TME[[#All],[Reporting Year]],2019,TME[[#All],[Insurance Category Code]],'Data Validation Checks'!A57))/'Data Validation Checks'!C22),"NA")</f>
        <v>NA</v>
      </c>
      <c r="U57" s="176" t="str">
        <f>IF(C22&lt;&gt;0,((SUMIFS(TME[[#All],[Total Non-Claims Spending]],TME[[#All],[Reporting Year]],2019,TME[[#All],[Insurance Category Code]],'Data Validation Checks'!A57))/'Data Validation Checks'!C22),"NA")</f>
        <v>NA</v>
      </c>
      <c r="V57" s="175" t="str">
        <f>IF(D22&lt;&gt;0,((SUMIFS(TME[[#All],[Total Non-Truncated Claims and Non-Claims Spending]],TME[[#All],[Reporting Year]],2020,TME[[#All],[Insurance Category Code]],'Data Validation Checks'!A57))/'Data Validation Checks'!D22),"NA")</f>
        <v>NA</v>
      </c>
      <c r="W57" s="152" t="str">
        <f>IF(D22&lt;&gt;0,((SUMIFS(TME[[#All],[Claims: Hospital Inpatient]],TME[[#All],[Reporting Year]],2020,TME[[#All],[Insurance Category Code]],'Data Validation Checks'!A57))/'Data Validation Checks'!D22),"NA")</f>
        <v>NA</v>
      </c>
      <c r="X57" s="152" t="str">
        <f>IF(D22&lt;&gt;0,((SUMIFS(TME[[#All],[Claims: Hospital Outpatient]],TME[[#All],[Reporting Year]],2020,TME[[#All],[Insurance Category Code]],'Data Validation Checks'!A57))/'Data Validation Checks'!D22),"NA")</f>
        <v>NA</v>
      </c>
      <c r="Y57" s="152" t="str">
        <f>IF(D22&lt;&gt;0,((SUMIFS(TME[[#All],[Claims: Professional, Primary Care Providers]],TME[[#All],[Reporting Year]],2020,TME[[#All],[Insurance Category Code]],'Data Validation Checks'!A57))/'Data Validation Checks'!D22),"NA")</f>
        <v>NA</v>
      </c>
      <c r="Z57" s="152" t="str">
        <f>IF(D22&lt;&gt;0,((SUMIFS(TME[[#All],[Claims: Professional, Specialty Providers]],TME[[#All],[Reporting Year]],2020,TME[[#All],[Insurance Category Code]],'Data Validation Checks'!A57))/'Data Validation Checks'!D22),"NA")</f>
        <v>NA</v>
      </c>
      <c r="AA57" s="152" t="str">
        <f>IF(D22&lt;&gt;0,((SUMIFS(TME[[#All],[Claims: Professional, Other Providers]],TME[[#All],[Reporting Year]],2020,TME[[#All],[Insurance Category Code]],'Data Validation Checks'!A57))/'Data Validation Checks'!D22),"NA")</f>
        <v>NA</v>
      </c>
      <c r="AB57" s="152" t="str">
        <f>IF(D22&lt;&gt;0,((SUMIFS(TME[[#All],[Claims: Long-Term Care]],TME[[#All],[Reporting Year]],2020,TME[[#All],[Insurance Category Code]],'Data Validation Checks'!A57))/'Data Validation Checks'!D22),"NA")</f>
        <v>NA</v>
      </c>
      <c r="AC57" s="152" t="str">
        <f>IF(D22&lt;&gt;0,((SUMIFS(TME[[#All],[Claims: Retail Pharmacy]],TME[[#All],[Reporting Year]],2020,TME[[#All],[Insurance Category Code]],'Data Validation Checks'!A57))/'Data Validation Checks'!D22),"NA")</f>
        <v>NA</v>
      </c>
      <c r="AD57" s="152" t="str">
        <f>IF(D22&lt;&gt;0,((SUMIFS(TME[[#All],[Claims: Other]],TME[[#All],[Reporting Year]],2020,TME[[#All],[Insurance Category Code]],'Data Validation Checks'!A57))/'Data Validation Checks'!D22),"NA")</f>
        <v>NA</v>
      </c>
      <c r="AE57" s="176" t="str">
        <f>IF(D22&lt;&gt;0,((SUMIFS(TME[[#All],[Total Non-Claims Spending]],TME[[#All],[Reporting Year]],2020,TME[[#All],[Insurance Category Code]],'Data Validation Checks'!A57))/'Data Validation Checks'!D22),"NA")</f>
        <v>NA</v>
      </c>
      <c r="AF57" s="175" t="str">
        <f>IF(E22&lt;&gt;0,((SUMIFS(TME[[#All],[Total Non-Truncated Claims and Non-Claims Spending]],TME[[#All],[Reporting Year]],2021,TME[[#All],[Insurance Category Code]],'Data Validation Checks'!A57))/'Data Validation Checks'!E22),"NA")</f>
        <v>NA</v>
      </c>
      <c r="AG57" s="152" t="str">
        <f>IF(E22&lt;&gt;0,((SUMIFS(TME[[#All],[Claims: Hospital Inpatient]],TME[[#All],[Reporting Year]],2021,TME[[#All],[Insurance Category Code]],'Data Validation Checks'!A57))/'Data Validation Checks'!E22),"NA")</f>
        <v>NA</v>
      </c>
      <c r="AH57" s="152" t="str">
        <f>IF(E22&lt;&gt;0,((SUMIFS(TME[[#All],[Claims: Hospital Outpatient]],TME[[#All],[Reporting Year]],2021,TME[[#All],[Insurance Category Code]],'Data Validation Checks'!A57))/'Data Validation Checks'!E22),"NA")</f>
        <v>NA</v>
      </c>
      <c r="AI57" s="152" t="str">
        <f>IF(E22&lt;&gt;0,((SUMIFS(TME[[#All],[Claims: Professional, Primary Care Providers]],TME[[#All],[Reporting Year]],2021,TME[[#All],[Insurance Category Code]],'Data Validation Checks'!A57))/'Data Validation Checks'!E22),"NA")</f>
        <v>NA</v>
      </c>
      <c r="AJ57" s="152" t="str">
        <f>IF(E22&lt;&gt;0,((SUMIFS(TME[[#All],[Claims: Professional, Specialty Providers]],TME[[#All],[Reporting Year]],2021,TME[[#All],[Insurance Category Code]],'Data Validation Checks'!A57))/'Data Validation Checks'!E22),"NA")</f>
        <v>NA</v>
      </c>
      <c r="AK57" s="152" t="str">
        <f>IF(E22&lt;&gt;0,((SUMIFS(TME[[#All],[Claims: Professional, Other Providers]],TME[[#All],[Reporting Year]],2021,TME[[#All],[Insurance Category Code]],'Data Validation Checks'!A57))/'Data Validation Checks'!E22),"NA")</f>
        <v>NA</v>
      </c>
      <c r="AL57" s="152" t="str">
        <f>IF(E22&lt;&gt;0,((SUMIFS(TME[[#All],[Claims: Long-Term Care]],TME[[#All],[Reporting Year]],2021,TME[[#All],[Insurance Category Code]],'Data Validation Checks'!A57))/'Data Validation Checks'!E22),"NA")</f>
        <v>NA</v>
      </c>
      <c r="AM57" s="152" t="str">
        <f>IF(E22&lt;&gt;0,((SUMIFS(TME[[#All],[Claims: Retail Pharmacy]],TME[[#All],[Reporting Year]],2021,TME[[#All],[Insurance Category Code]],'Data Validation Checks'!A57))/'Data Validation Checks'!E22),"NA")</f>
        <v>NA</v>
      </c>
      <c r="AN57" s="152" t="str">
        <f>IF(E22&lt;&gt;0,((SUMIFS(TME[[#All],[Claims: Other]],TME[[#All],[Reporting Year]],2021,TME[[#All],[Insurance Category Code]],'Data Validation Checks'!A57))/'Data Validation Checks'!E22),"NA")</f>
        <v>NA</v>
      </c>
      <c r="AO57" s="176" t="str">
        <f>IF(E22&lt;&gt;0,((SUMIFS(TME[[#All],[Total Non-Claims Spending]],TME[[#All],[Reporting Year]],2021,TME[[#All],[Insurance Category Code]],'Data Validation Checks'!A57))/'Data Validation Checks'!E22),"NA")</f>
        <v>NA</v>
      </c>
    </row>
    <row r="58" spans="1:41" x14ac:dyDescent="0.35">
      <c r="A58" s="90">
        <v>4</v>
      </c>
      <c r="B58" s="175" t="str">
        <f>IF(B23&lt;&gt;0,((SUMIFS(TME[[#All],[Total Non-Truncated Claims and Non-Claims Spending]],TME[[#All],[Reporting Year]],2018,TME[[#All],[Insurance Category Code]],'Data Validation Checks'!A58))/'Data Validation Checks'!B23),"NA")</f>
        <v>NA</v>
      </c>
      <c r="C58" s="152" t="str">
        <f>IF(B23&lt;&gt;0,((SUMIFS(TME[[#All],[Claims: Hospital Inpatient]],TME[[#All],[Reporting Year]],2018,TME[[#All],[Insurance Category Code]],'Data Validation Checks'!A58))/'Data Validation Checks'!B23),"NA")</f>
        <v>NA</v>
      </c>
      <c r="D58" s="152" t="str">
        <f>IF(B23&lt;&gt;0,((SUMIFS(TME[[#All],[Claims: Hospital Outpatient]],TME[[#All],[Reporting Year]],2018,TME[[#All],[Insurance Category Code]],'Data Validation Checks'!A58))/'Data Validation Checks'!B23),"NA")</f>
        <v>NA</v>
      </c>
      <c r="E58" s="152" t="str">
        <f>IF(B23&lt;&gt;0,((SUMIFS(TME[[#All],[Claims: Professional, Primary Care Providers]],TME[[#All],[Reporting Year]],2018,TME[[#All],[Insurance Category Code]],'Data Validation Checks'!A58))/'Data Validation Checks'!B23),"NA")</f>
        <v>NA</v>
      </c>
      <c r="F58" s="152" t="str">
        <f>IF(B23&lt;&gt;0,((SUMIFS(TME[[#All],[Claims: Professional, Specialty Providers]],TME[[#All],[Reporting Year]],2018,TME[[#All],[Insurance Category Code]],'Data Validation Checks'!A58))/'Data Validation Checks'!B23),"NA")</f>
        <v>NA</v>
      </c>
      <c r="G58" s="152" t="str">
        <f>IF(B23&lt;&gt;0,((SUMIFS(TME[[#All],[Claims: Professional, Other Providers]],TME[[#All],[Reporting Year]],2018,TME[[#All],[Insurance Category Code]],'Data Validation Checks'!A58))/'Data Validation Checks'!B23),"NA")</f>
        <v>NA</v>
      </c>
      <c r="H58" s="152" t="str">
        <f>IF(B23&lt;&gt;0,((SUMIFS(TME[[#All],[Claims: Long-Term Care]],TME[[#All],[Reporting Year]],2018,TME[[#All],[Insurance Category Code]],'Data Validation Checks'!A58))/'Data Validation Checks'!B23),"NA")</f>
        <v>NA</v>
      </c>
      <c r="I58" s="152" t="str">
        <f>IF(B23&lt;&gt;0,((SUMIFS(TME[[#All],[Claims: Retail Pharmacy]],TME[[#All],[Reporting Year]],2018,TME[[#All],[Insurance Category Code]],'Data Validation Checks'!A58))/'Data Validation Checks'!B23),"NA")</f>
        <v>NA</v>
      </c>
      <c r="J58" s="152" t="str">
        <f>IF(B23&lt;&gt;0,((SUMIFS(TME[[#All],[Claims: Other]],TME[[#All],[Reporting Year]],2018,TME[[#All],[Insurance Category Code]],'Data Validation Checks'!A58))/'Data Validation Checks'!B23),"NA")</f>
        <v>NA</v>
      </c>
      <c r="K58" s="176" t="str">
        <f>IF(B23&lt;&gt;0,((SUMIFS(TME[[#All],[Total Non-Claims Spending]],TME[[#All],[Reporting Year]],2018,TME[[#All],[Insurance Category Code]],'Data Validation Checks'!A58))/'Data Validation Checks'!B23),"NA")</f>
        <v>NA</v>
      </c>
      <c r="L58" s="175" t="str">
        <f>IF(C23&lt;&gt;0,((SUMIFS(TME[[#All],[Total Non-Truncated Claims and Non-Claims Spending]],TME[[#All],[Reporting Year]],2019,TME[[#All],[Insurance Category Code]],'Data Validation Checks'!A58))/'Data Validation Checks'!C23),"NA")</f>
        <v>NA</v>
      </c>
      <c r="M58" s="152" t="str">
        <f>IF(C23&lt;&gt;0,((SUMIFS(TME[[#All],[Claims: Hospital Inpatient]],TME[[#All],[Reporting Year]],2019,TME[[#All],[Insurance Category Code]],'Data Validation Checks'!A58))/'Data Validation Checks'!C23),"NA")</f>
        <v>NA</v>
      </c>
      <c r="N58" s="152" t="str">
        <f>IF(C23&lt;&gt;0,((SUMIFS(TME[[#All],[Claims: Hospital Outpatient]],TME[[#All],[Reporting Year]],2019,TME[[#All],[Insurance Category Code]],'Data Validation Checks'!A58))/'Data Validation Checks'!C23),"NA")</f>
        <v>NA</v>
      </c>
      <c r="O58" s="152" t="str">
        <f>IF(C23&lt;&gt;0,((SUMIFS(TME[[#All],[Claims: Professional, Primary Care Providers]],TME[[#All],[Reporting Year]],2019,TME[[#All],[Insurance Category Code]],'Data Validation Checks'!A58))/'Data Validation Checks'!C23),"NA")</f>
        <v>NA</v>
      </c>
      <c r="P58" s="152" t="str">
        <f>IF(C23&lt;&gt;0,((SUMIFS(TME[[#All],[Claims: Professional, Specialty Providers]],TME[[#All],[Reporting Year]],2019,TME[[#All],[Insurance Category Code]],'Data Validation Checks'!A58))/'Data Validation Checks'!C23),"NA")</f>
        <v>NA</v>
      </c>
      <c r="Q58" s="152" t="str">
        <f>IF(C23&lt;&gt;0,((SUMIFS(TME[[#All],[Claims: Professional, Other Providers]],TME[[#All],[Reporting Year]],2019,TME[[#All],[Insurance Category Code]],'Data Validation Checks'!A58))/'Data Validation Checks'!C23),"NA")</f>
        <v>NA</v>
      </c>
      <c r="R58" s="152" t="str">
        <f>IF(C23&lt;&gt;0,((SUMIFS(TME[[#All],[Claims: Long-Term Care]],TME[[#All],[Reporting Year]],2019,TME[[#All],[Insurance Category Code]],'Data Validation Checks'!A58))/'Data Validation Checks'!C23),"NA")</f>
        <v>NA</v>
      </c>
      <c r="S58" s="152" t="str">
        <f>IF(C23&lt;&gt;0,((SUMIFS(TME[[#All],[Claims: Retail Pharmacy]],TME[[#All],[Reporting Year]],2019,TME[[#All],[Insurance Category Code]],'Data Validation Checks'!A58))/'Data Validation Checks'!C23),"NA")</f>
        <v>NA</v>
      </c>
      <c r="T58" s="152" t="str">
        <f>IF(C23&lt;&gt;0,((SUMIFS(TME[[#All],[Claims: Other]],TME[[#All],[Reporting Year]],2019,TME[[#All],[Insurance Category Code]],'Data Validation Checks'!A58))/'Data Validation Checks'!C23),"NA")</f>
        <v>NA</v>
      </c>
      <c r="U58" s="176" t="str">
        <f>IF(C23&lt;&gt;0,((SUMIFS(TME[[#All],[Total Non-Claims Spending]],TME[[#All],[Reporting Year]],2019,TME[[#All],[Insurance Category Code]],'Data Validation Checks'!A58))/'Data Validation Checks'!C23),"NA")</f>
        <v>NA</v>
      </c>
      <c r="V58" s="175" t="str">
        <f>IF(D23&lt;&gt;0,((SUMIFS(TME[[#All],[Total Non-Truncated Claims and Non-Claims Spending]],TME[[#All],[Reporting Year]],2020,TME[[#All],[Insurance Category Code]],'Data Validation Checks'!A58))/'Data Validation Checks'!D23),"NA")</f>
        <v>NA</v>
      </c>
      <c r="W58" s="152" t="str">
        <f>IF(D23&lt;&gt;0,((SUMIFS(TME[[#All],[Claims: Hospital Inpatient]],TME[[#All],[Reporting Year]],2020,TME[[#All],[Insurance Category Code]],'Data Validation Checks'!A58))/'Data Validation Checks'!D23),"NA")</f>
        <v>NA</v>
      </c>
      <c r="X58" s="152" t="str">
        <f>IF(D23&lt;&gt;0,((SUMIFS(TME[[#All],[Claims: Hospital Outpatient]],TME[[#All],[Reporting Year]],2020,TME[[#All],[Insurance Category Code]],'Data Validation Checks'!A58))/'Data Validation Checks'!D23),"NA")</f>
        <v>NA</v>
      </c>
      <c r="Y58" s="152" t="str">
        <f>IF(D23&lt;&gt;0,((SUMIFS(TME[[#All],[Claims: Professional, Primary Care Providers]],TME[[#All],[Reporting Year]],2020,TME[[#All],[Insurance Category Code]],'Data Validation Checks'!A58))/'Data Validation Checks'!D23),"NA")</f>
        <v>NA</v>
      </c>
      <c r="Z58" s="152" t="str">
        <f>IF(D23&lt;&gt;0,((SUMIFS(TME[[#All],[Claims: Professional, Specialty Providers]],TME[[#All],[Reporting Year]],2020,TME[[#All],[Insurance Category Code]],'Data Validation Checks'!A58))/'Data Validation Checks'!D23),"NA")</f>
        <v>NA</v>
      </c>
      <c r="AA58" s="152" t="str">
        <f>IF(D23&lt;&gt;0,((SUMIFS(TME[[#All],[Claims: Professional, Other Providers]],TME[[#All],[Reporting Year]],2020,TME[[#All],[Insurance Category Code]],'Data Validation Checks'!A58))/'Data Validation Checks'!D23),"NA")</f>
        <v>NA</v>
      </c>
      <c r="AB58" s="152" t="str">
        <f>IF(D23&lt;&gt;0,((SUMIFS(TME[[#All],[Claims: Long-Term Care]],TME[[#All],[Reporting Year]],2020,TME[[#All],[Insurance Category Code]],'Data Validation Checks'!A58))/'Data Validation Checks'!D23),"NA")</f>
        <v>NA</v>
      </c>
      <c r="AC58" s="152" t="str">
        <f>IF(D23&lt;&gt;0,((SUMIFS(TME[[#All],[Claims: Retail Pharmacy]],TME[[#All],[Reporting Year]],2020,TME[[#All],[Insurance Category Code]],'Data Validation Checks'!A58))/'Data Validation Checks'!D23),"NA")</f>
        <v>NA</v>
      </c>
      <c r="AD58" s="152" t="str">
        <f>IF(D23&lt;&gt;0,((SUMIFS(TME[[#All],[Claims: Other]],TME[[#All],[Reporting Year]],2020,TME[[#All],[Insurance Category Code]],'Data Validation Checks'!A58))/'Data Validation Checks'!D23),"NA")</f>
        <v>NA</v>
      </c>
      <c r="AE58" s="176" t="str">
        <f>IF(D23&lt;&gt;0,((SUMIFS(TME[[#All],[Total Non-Claims Spending]],TME[[#All],[Reporting Year]],2020,TME[[#All],[Insurance Category Code]],'Data Validation Checks'!A58))/'Data Validation Checks'!D23),"NA")</f>
        <v>NA</v>
      </c>
      <c r="AF58" s="175" t="str">
        <f>IF(E23&lt;&gt;0,((SUMIFS(TME[[#All],[Total Non-Truncated Claims and Non-Claims Spending]],TME[[#All],[Reporting Year]],2021,TME[[#All],[Insurance Category Code]],'Data Validation Checks'!A58))/'Data Validation Checks'!E23),"NA")</f>
        <v>NA</v>
      </c>
      <c r="AG58" s="152" t="str">
        <f>IF(E23&lt;&gt;0,((SUMIFS(TME[[#All],[Claims: Hospital Inpatient]],TME[[#All],[Reporting Year]],2021,TME[[#All],[Insurance Category Code]],'Data Validation Checks'!A58))/'Data Validation Checks'!E23),"NA")</f>
        <v>NA</v>
      </c>
      <c r="AH58" s="152" t="str">
        <f>IF(E23&lt;&gt;0,((SUMIFS(TME[[#All],[Claims: Hospital Outpatient]],TME[[#All],[Reporting Year]],2021,TME[[#All],[Insurance Category Code]],'Data Validation Checks'!A58))/'Data Validation Checks'!E23),"NA")</f>
        <v>NA</v>
      </c>
      <c r="AI58" s="152" t="str">
        <f>IF(E23&lt;&gt;0,((SUMIFS(TME[[#All],[Claims: Professional, Primary Care Providers]],TME[[#All],[Reporting Year]],2021,TME[[#All],[Insurance Category Code]],'Data Validation Checks'!A58))/'Data Validation Checks'!E23),"NA")</f>
        <v>NA</v>
      </c>
      <c r="AJ58" s="152" t="str">
        <f>IF(E23&lt;&gt;0,((SUMIFS(TME[[#All],[Claims: Professional, Specialty Providers]],TME[[#All],[Reporting Year]],2021,TME[[#All],[Insurance Category Code]],'Data Validation Checks'!A58))/'Data Validation Checks'!E23),"NA")</f>
        <v>NA</v>
      </c>
      <c r="AK58" s="152" t="str">
        <f>IF(E23&lt;&gt;0,((SUMIFS(TME[[#All],[Claims: Professional, Other Providers]],TME[[#All],[Reporting Year]],2021,TME[[#All],[Insurance Category Code]],'Data Validation Checks'!A58))/'Data Validation Checks'!E23),"NA")</f>
        <v>NA</v>
      </c>
      <c r="AL58" s="152" t="str">
        <f>IF(E23&lt;&gt;0,((SUMIFS(TME[[#All],[Claims: Long-Term Care]],TME[[#All],[Reporting Year]],2021,TME[[#All],[Insurance Category Code]],'Data Validation Checks'!A58))/'Data Validation Checks'!E23),"NA")</f>
        <v>NA</v>
      </c>
      <c r="AM58" s="152" t="str">
        <f>IF(E23&lt;&gt;0,((SUMIFS(TME[[#All],[Claims: Retail Pharmacy]],TME[[#All],[Reporting Year]],2021,TME[[#All],[Insurance Category Code]],'Data Validation Checks'!A58))/'Data Validation Checks'!E23),"NA")</f>
        <v>NA</v>
      </c>
      <c r="AN58" s="152" t="str">
        <f>IF(E23&lt;&gt;0,((SUMIFS(TME[[#All],[Claims: Other]],TME[[#All],[Reporting Year]],2021,TME[[#All],[Insurance Category Code]],'Data Validation Checks'!A58))/'Data Validation Checks'!E23),"NA")</f>
        <v>NA</v>
      </c>
      <c r="AO58" s="176" t="str">
        <f>IF(E23&lt;&gt;0,((SUMIFS(TME[[#All],[Total Non-Claims Spending]],TME[[#All],[Reporting Year]],2021,TME[[#All],[Insurance Category Code]],'Data Validation Checks'!A58))/'Data Validation Checks'!E23),"NA")</f>
        <v>NA</v>
      </c>
    </row>
    <row r="59" spans="1:41" x14ac:dyDescent="0.35">
      <c r="A59" s="90">
        <v>5</v>
      </c>
      <c r="B59" s="175" t="str">
        <f>IF(B24&lt;&gt;0,((SUMIFS(TME[[#All],[Total Non-Truncated Claims and Non-Claims Spending]],TME[[#All],[Reporting Year]],2018,TME[[#All],[Insurance Category Code]],'Data Validation Checks'!A59))/'Data Validation Checks'!B24),"NA")</f>
        <v>NA</v>
      </c>
      <c r="C59" s="152" t="str">
        <f>IF(B24&lt;&gt;0,((SUMIFS(TME[[#All],[Claims: Hospital Inpatient]],TME[[#All],[Reporting Year]],2018,TME[[#All],[Insurance Category Code]],'Data Validation Checks'!A59))/'Data Validation Checks'!B24),"NA")</f>
        <v>NA</v>
      </c>
      <c r="D59" s="152" t="str">
        <f>IF(B24&lt;&gt;0,((SUMIFS(TME[[#All],[Claims: Hospital Outpatient]],TME[[#All],[Reporting Year]],2018,TME[[#All],[Insurance Category Code]],'Data Validation Checks'!A59))/'Data Validation Checks'!B24),"NA")</f>
        <v>NA</v>
      </c>
      <c r="E59" s="152" t="str">
        <f>IF(B24&lt;&gt;0,((SUMIFS(TME[[#All],[Claims: Professional, Primary Care Providers]],TME[[#All],[Reporting Year]],2018,TME[[#All],[Insurance Category Code]],'Data Validation Checks'!A59))/'Data Validation Checks'!B24),"NA")</f>
        <v>NA</v>
      </c>
      <c r="F59" s="152" t="str">
        <f>IF(B24&lt;&gt;0,((SUMIFS(TME[[#All],[Claims: Professional, Specialty Providers]],TME[[#All],[Reporting Year]],2018,TME[[#All],[Insurance Category Code]],'Data Validation Checks'!A59))/'Data Validation Checks'!B24),"NA")</f>
        <v>NA</v>
      </c>
      <c r="G59" s="152" t="str">
        <f>IF(B24&lt;&gt;0,((SUMIFS(TME[[#All],[Claims: Professional, Other Providers]],TME[[#All],[Reporting Year]],2018,TME[[#All],[Insurance Category Code]],'Data Validation Checks'!A59))/'Data Validation Checks'!B24),"NA")</f>
        <v>NA</v>
      </c>
      <c r="H59" s="152" t="str">
        <f>IF(B24&lt;&gt;0,((SUMIFS(TME[[#All],[Claims: Long-Term Care]],TME[[#All],[Reporting Year]],2018,TME[[#All],[Insurance Category Code]],'Data Validation Checks'!A59))/'Data Validation Checks'!B24),"NA")</f>
        <v>NA</v>
      </c>
      <c r="I59" s="152" t="str">
        <f>IF(B24&lt;&gt;0,((SUMIFS(TME[[#All],[Claims: Retail Pharmacy]],TME[[#All],[Reporting Year]],2018,TME[[#All],[Insurance Category Code]],'Data Validation Checks'!A59))/'Data Validation Checks'!B24),"NA")</f>
        <v>NA</v>
      </c>
      <c r="J59" s="152" t="str">
        <f>IF(B24&lt;&gt;0,((SUMIFS(TME[[#All],[Claims: Other]],TME[[#All],[Reporting Year]],2018,TME[[#All],[Insurance Category Code]],'Data Validation Checks'!A59))/'Data Validation Checks'!B24),"NA")</f>
        <v>NA</v>
      </c>
      <c r="K59" s="176" t="str">
        <f>IF(B24&lt;&gt;0,((SUMIFS(TME[[#All],[Total Non-Claims Spending]],TME[[#All],[Reporting Year]],2018,TME[[#All],[Insurance Category Code]],'Data Validation Checks'!A59))/'Data Validation Checks'!B24),"NA")</f>
        <v>NA</v>
      </c>
      <c r="L59" s="175" t="str">
        <f>IF(C24&lt;&gt;0,((SUMIFS(TME[[#All],[Total Non-Truncated Claims and Non-Claims Spending]],TME[[#All],[Reporting Year]],2019,TME[[#All],[Insurance Category Code]],'Data Validation Checks'!A59))/'Data Validation Checks'!C24),"NA")</f>
        <v>NA</v>
      </c>
      <c r="M59" s="152" t="str">
        <f>IF(C24&lt;&gt;0,((SUMIFS(TME[[#All],[Claims: Hospital Inpatient]],TME[[#All],[Reporting Year]],2019,TME[[#All],[Insurance Category Code]],'Data Validation Checks'!A59))/'Data Validation Checks'!C24),"NA")</f>
        <v>NA</v>
      </c>
      <c r="N59" s="152" t="str">
        <f>IF(C24&lt;&gt;0,((SUMIFS(TME[[#All],[Claims: Hospital Outpatient]],TME[[#All],[Reporting Year]],2019,TME[[#All],[Insurance Category Code]],'Data Validation Checks'!A59))/'Data Validation Checks'!C24),"NA")</f>
        <v>NA</v>
      </c>
      <c r="O59" s="152" t="str">
        <f>IF(C24&lt;&gt;0,((SUMIFS(TME[[#All],[Claims: Professional, Primary Care Providers]],TME[[#All],[Reporting Year]],2019,TME[[#All],[Insurance Category Code]],'Data Validation Checks'!A59))/'Data Validation Checks'!C24),"NA")</f>
        <v>NA</v>
      </c>
      <c r="P59" s="152" t="str">
        <f>IF(C24&lt;&gt;0,((SUMIFS(TME[[#All],[Claims: Professional, Specialty Providers]],TME[[#All],[Reporting Year]],2019,TME[[#All],[Insurance Category Code]],'Data Validation Checks'!A59))/'Data Validation Checks'!C24),"NA")</f>
        <v>NA</v>
      </c>
      <c r="Q59" s="152" t="str">
        <f>IF(C24&lt;&gt;0,((SUMIFS(TME[[#All],[Claims: Professional, Other Providers]],TME[[#All],[Reporting Year]],2019,TME[[#All],[Insurance Category Code]],'Data Validation Checks'!A59))/'Data Validation Checks'!C24),"NA")</f>
        <v>NA</v>
      </c>
      <c r="R59" s="152" t="str">
        <f>IF(C24&lt;&gt;0,((SUMIFS(TME[[#All],[Claims: Long-Term Care]],TME[[#All],[Reporting Year]],2019,TME[[#All],[Insurance Category Code]],'Data Validation Checks'!A59))/'Data Validation Checks'!C24),"NA")</f>
        <v>NA</v>
      </c>
      <c r="S59" s="152" t="str">
        <f>IF(C24&lt;&gt;0,((SUMIFS(TME[[#All],[Claims: Retail Pharmacy]],TME[[#All],[Reporting Year]],2019,TME[[#All],[Insurance Category Code]],'Data Validation Checks'!A59))/'Data Validation Checks'!C24),"NA")</f>
        <v>NA</v>
      </c>
      <c r="T59" s="152" t="str">
        <f>IF(C24&lt;&gt;0,((SUMIFS(TME[[#All],[Claims: Other]],TME[[#All],[Reporting Year]],2019,TME[[#All],[Insurance Category Code]],'Data Validation Checks'!A59))/'Data Validation Checks'!C24),"NA")</f>
        <v>NA</v>
      </c>
      <c r="U59" s="176" t="str">
        <f>IF(C24&lt;&gt;0,((SUMIFS(TME[[#All],[Total Non-Claims Spending]],TME[[#All],[Reporting Year]],2019,TME[[#All],[Insurance Category Code]],'Data Validation Checks'!A59))/'Data Validation Checks'!C24),"NA")</f>
        <v>NA</v>
      </c>
      <c r="V59" s="175" t="str">
        <f>IF(D24&lt;&gt;0,((SUMIFS(TME[[#All],[Total Non-Truncated Claims and Non-Claims Spending]],TME[[#All],[Reporting Year]],2020,TME[[#All],[Insurance Category Code]],'Data Validation Checks'!A59))/'Data Validation Checks'!D24),"NA")</f>
        <v>NA</v>
      </c>
      <c r="W59" s="152" t="str">
        <f>IF(D24&lt;&gt;0,((SUMIFS(TME[[#All],[Claims: Hospital Inpatient]],TME[[#All],[Reporting Year]],2020,TME[[#All],[Insurance Category Code]],'Data Validation Checks'!A59))/'Data Validation Checks'!D24),"NA")</f>
        <v>NA</v>
      </c>
      <c r="X59" s="152" t="str">
        <f>IF(D24&lt;&gt;0,((SUMIFS(TME[[#All],[Claims: Hospital Outpatient]],TME[[#All],[Reporting Year]],2020,TME[[#All],[Insurance Category Code]],'Data Validation Checks'!A59))/'Data Validation Checks'!D24),"NA")</f>
        <v>NA</v>
      </c>
      <c r="Y59" s="152" t="str">
        <f>IF(D24&lt;&gt;0,((SUMIFS(TME[[#All],[Claims: Professional, Primary Care Providers]],TME[[#All],[Reporting Year]],2020,TME[[#All],[Insurance Category Code]],'Data Validation Checks'!A59))/'Data Validation Checks'!D24),"NA")</f>
        <v>NA</v>
      </c>
      <c r="Z59" s="152" t="str">
        <f>IF(D24&lt;&gt;0,((SUMIFS(TME[[#All],[Claims: Professional, Specialty Providers]],TME[[#All],[Reporting Year]],2020,TME[[#All],[Insurance Category Code]],'Data Validation Checks'!A59))/'Data Validation Checks'!D24),"NA")</f>
        <v>NA</v>
      </c>
      <c r="AA59" s="152" t="str">
        <f>IF(D24&lt;&gt;0,((SUMIFS(TME[[#All],[Claims: Professional, Other Providers]],TME[[#All],[Reporting Year]],2020,TME[[#All],[Insurance Category Code]],'Data Validation Checks'!A59))/'Data Validation Checks'!D24),"NA")</f>
        <v>NA</v>
      </c>
      <c r="AB59" s="152" t="str">
        <f>IF(D24&lt;&gt;0,((SUMIFS(TME[[#All],[Claims: Long-Term Care]],TME[[#All],[Reporting Year]],2020,TME[[#All],[Insurance Category Code]],'Data Validation Checks'!A59))/'Data Validation Checks'!D24),"NA")</f>
        <v>NA</v>
      </c>
      <c r="AC59" s="152" t="str">
        <f>IF(D24&lt;&gt;0,((SUMIFS(TME[[#All],[Claims: Retail Pharmacy]],TME[[#All],[Reporting Year]],2020,TME[[#All],[Insurance Category Code]],'Data Validation Checks'!A59))/'Data Validation Checks'!D24),"NA")</f>
        <v>NA</v>
      </c>
      <c r="AD59" s="152" t="str">
        <f>IF(D24&lt;&gt;0,((SUMIFS(TME[[#All],[Claims: Other]],TME[[#All],[Reporting Year]],2020,TME[[#All],[Insurance Category Code]],'Data Validation Checks'!A59))/'Data Validation Checks'!D24),"NA")</f>
        <v>NA</v>
      </c>
      <c r="AE59" s="176" t="str">
        <f>IF(D24&lt;&gt;0,((SUMIFS(TME[[#All],[Total Non-Claims Spending]],TME[[#All],[Reporting Year]],2020,TME[[#All],[Insurance Category Code]],'Data Validation Checks'!A59))/'Data Validation Checks'!D24),"NA")</f>
        <v>NA</v>
      </c>
      <c r="AF59" s="175" t="str">
        <f>IF(E24&lt;&gt;0,((SUMIFS(TME[[#All],[Total Non-Truncated Claims and Non-Claims Spending]],TME[[#All],[Reporting Year]],2021,TME[[#All],[Insurance Category Code]],'Data Validation Checks'!A59))/'Data Validation Checks'!E24),"NA")</f>
        <v>NA</v>
      </c>
      <c r="AG59" s="152" t="str">
        <f>IF(E24&lt;&gt;0,((SUMIFS(TME[[#All],[Claims: Hospital Inpatient]],TME[[#All],[Reporting Year]],2021,TME[[#All],[Insurance Category Code]],'Data Validation Checks'!A59))/'Data Validation Checks'!E24),"NA")</f>
        <v>NA</v>
      </c>
      <c r="AH59" s="152" t="str">
        <f>IF(E24&lt;&gt;0,((SUMIFS(TME[[#All],[Claims: Hospital Outpatient]],TME[[#All],[Reporting Year]],2021,TME[[#All],[Insurance Category Code]],'Data Validation Checks'!A59))/'Data Validation Checks'!E24),"NA")</f>
        <v>NA</v>
      </c>
      <c r="AI59" s="152" t="str">
        <f>IF(E24&lt;&gt;0,((SUMIFS(TME[[#All],[Claims: Professional, Primary Care Providers]],TME[[#All],[Reporting Year]],2021,TME[[#All],[Insurance Category Code]],'Data Validation Checks'!A59))/'Data Validation Checks'!E24),"NA")</f>
        <v>NA</v>
      </c>
      <c r="AJ59" s="152" t="str">
        <f>IF(E24&lt;&gt;0,((SUMIFS(TME[[#All],[Claims: Professional, Specialty Providers]],TME[[#All],[Reporting Year]],2021,TME[[#All],[Insurance Category Code]],'Data Validation Checks'!A59))/'Data Validation Checks'!E24),"NA")</f>
        <v>NA</v>
      </c>
      <c r="AK59" s="152" t="str">
        <f>IF(E24&lt;&gt;0,((SUMIFS(TME[[#All],[Claims: Professional, Other Providers]],TME[[#All],[Reporting Year]],2021,TME[[#All],[Insurance Category Code]],'Data Validation Checks'!A59))/'Data Validation Checks'!E24),"NA")</f>
        <v>NA</v>
      </c>
      <c r="AL59" s="152" t="str">
        <f>IF(E24&lt;&gt;0,((SUMIFS(TME[[#All],[Claims: Long-Term Care]],TME[[#All],[Reporting Year]],2021,TME[[#All],[Insurance Category Code]],'Data Validation Checks'!A59))/'Data Validation Checks'!E24),"NA")</f>
        <v>NA</v>
      </c>
      <c r="AM59" s="152" t="str">
        <f>IF(E24&lt;&gt;0,((SUMIFS(TME[[#All],[Claims: Retail Pharmacy]],TME[[#All],[Reporting Year]],2021,TME[[#All],[Insurance Category Code]],'Data Validation Checks'!A59))/'Data Validation Checks'!E24),"NA")</f>
        <v>NA</v>
      </c>
      <c r="AN59" s="152" t="str">
        <f>IF(E24&lt;&gt;0,((SUMIFS(TME[[#All],[Claims: Other]],TME[[#All],[Reporting Year]],2021,TME[[#All],[Insurance Category Code]],'Data Validation Checks'!A59))/'Data Validation Checks'!E24),"NA")</f>
        <v>NA</v>
      </c>
      <c r="AO59" s="176" t="str">
        <f>IF(E24&lt;&gt;0,((SUMIFS(TME[[#All],[Total Non-Claims Spending]],TME[[#All],[Reporting Year]],2021,TME[[#All],[Insurance Category Code]],'Data Validation Checks'!A59))/'Data Validation Checks'!E24),"NA")</f>
        <v>NA</v>
      </c>
    </row>
    <row r="60" spans="1:41" ht="15" thickBot="1" x14ac:dyDescent="0.4">
      <c r="A60" s="173">
        <v>6</v>
      </c>
      <c r="B60" s="175" t="str">
        <f>IF(B25&lt;&gt;0,((SUMIFS(TME[[#All],[Total Non-Truncated Claims and Non-Claims Spending]],TME[[#All],[Reporting Year]],2018,TME[[#All],[Insurance Category Code]],'Data Validation Checks'!A60))/'Data Validation Checks'!B25),"NA")</f>
        <v>NA</v>
      </c>
      <c r="C60" s="152" t="str">
        <f>IF(B25&lt;&gt;0,((SUMIFS(TME[[#All],[Claims: Hospital Inpatient]],TME[[#All],[Reporting Year]],2018,TME[[#All],[Insurance Category Code]],'Data Validation Checks'!A60))/'Data Validation Checks'!B25),"NA")</f>
        <v>NA</v>
      </c>
      <c r="D60" s="152" t="str">
        <f>IF(B25&lt;&gt;0,((SUMIFS(TME[[#All],[Claims: Hospital Outpatient]],TME[[#All],[Reporting Year]],2018,TME[[#All],[Insurance Category Code]],'Data Validation Checks'!A60))/'Data Validation Checks'!B25),"NA")</f>
        <v>NA</v>
      </c>
      <c r="E60" s="152" t="str">
        <f>IF(B25&lt;&gt;0,((SUMIFS(TME[[#All],[Claims: Professional, Primary Care Providers]],TME[[#All],[Reporting Year]],2018,TME[[#All],[Insurance Category Code]],'Data Validation Checks'!A60))/'Data Validation Checks'!B25),"NA")</f>
        <v>NA</v>
      </c>
      <c r="F60" s="152" t="str">
        <f>IF(B25&lt;&gt;0,((SUMIFS(TME[[#All],[Claims: Professional, Specialty Providers]],TME[[#All],[Reporting Year]],2018,TME[[#All],[Insurance Category Code]],'Data Validation Checks'!A60))/'Data Validation Checks'!B25),"NA")</f>
        <v>NA</v>
      </c>
      <c r="G60" s="152" t="str">
        <f>IF(B25&lt;&gt;0,((SUMIFS(TME[[#All],[Claims: Professional, Other Providers]],TME[[#All],[Reporting Year]],2018,TME[[#All],[Insurance Category Code]],'Data Validation Checks'!A60))/'Data Validation Checks'!B25),"NA")</f>
        <v>NA</v>
      </c>
      <c r="H60" s="152" t="str">
        <f>IF(B25&lt;&gt;0,((SUMIFS(TME[[#All],[Claims: Long-Term Care]],TME[[#All],[Reporting Year]],2018,TME[[#All],[Insurance Category Code]],'Data Validation Checks'!A60))/'Data Validation Checks'!B25),"NA")</f>
        <v>NA</v>
      </c>
      <c r="I60" s="152" t="str">
        <f>IF(B25&lt;&gt;0,((SUMIFS(TME[[#All],[Claims: Retail Pharmacy]],TME[[#All],[Reporting Year]],2018,TME[[#All],[Insurance Category Code]],'Data Validation Checks'!A60))/'Data Validation Checks'!B25),"NA")</f>
        <v>NA</v>
      </c>
      <c r="J60" s="152" t="str">
        <f>IF(B25&lt;&gt;0,((SUMIFS(TME[[#All],[Claims: Other]],TME[[#All],[Reporting Year]],2018,TME[[#All],[Insurance Category Code]],'Data Validation Checks'!A60))/'Data Validation Checks'!B25),"NA")</f>
        <v>NA</v>
      </c>
      <c r="K60" s="176" t="str">
        <f>IF(B25&lt;&gt;0,((SUMIFS(TME[[#All],[Total Non-Claims Spending]],TME[[#All],[Reporting Year]],2018,TME[[#All],[Insurance Category Code]],'Data Validation Checks'!A60))/'Data Validation Checks'!B25),"NA")</f>
        <v>NA</v>
      </c>
      <c r="L60" s="175" t="str">
        <f>IF(C25&lt;&gt;0,((SUMIFS(TME[[#All],[Total Non-Truncated Claims and Non-Claims Spending]],TME[[#All],[Reporting Year]],2019,TME[[#All],[Insurance Category Code]],'Data Validation Checks'!A60))/'Data Validation Checks'!C25),"NA")</f>
        <v>NA</v>
      </c>
      <c r="M60" s="152" t="str">
        <f>IF(C25&lt;&gt;0,((SUMIFS(TME[[#All],[Claims: Hospital Inpatient]],TME[[#All],[Reporting Year]],2019,TME[[#All],[Insurance Category Code]],'Data Validation Checks'!A60))/'Data Validation Checks'!C25),"NA")</f>
        <v>NA</v>
      </c>
      <c r="N60" s="152" t="str">
        <f>IF(C25&lt;&gt;0,((SUMIFS(TME[[#All],[Claims: Hospital Outpatient]],TME[[#All],[Reporting Year]],2019,TME[[#All],[Insurance Category Code]],'Data Validation Checks'!A60))/'Data Validation Checks'!C25),"NA")</f>
        <v>NA</v>
      </c>
      <c r="O60" s="152" t="str">
        <f>IF(C25&lt;&gt;0,((SUMIFS(TME[[#All],[Claims: Professional, Primary Care Providers]],TME[[#All],[Reporting Year]],2019,TME[[#All],[Insurance Category Code]],'Data Validation Checks'!A60))/'Data Validation Checks'!C25),"NA")</f>
        <v>NA</v>
      </c>
      <c r="P60" s="152" t="str">
        <f>IF(C25&lt;&gt;0,((SUMIFS(TME[[#All],[Claims: Professional, Specialty Providers]],TME[[#All],[Reporting Year]],2019,TME[[#All],[Insurance Category Code]],'Data Validation Checks'!A60))/'Data Validation Checks'!C25),"NA")</f>
        <v>NA</v>
      </c>
      <c r="Q60" s="152" t="str">
        <f>IF(C25&lt;&gt;0,((SUMIFS(TME[[#All],[Claims: Professional, Other Providers]],TME[[#All],[Reporting Year]],2019,TME[[#All],[Insurance Category Code]],'Data Validation Checks'!A60))/'Data Validation Checks'!C25),"NA")</f>
        <v>NA</v>
      </c>
      <c r="R60" s="152" t="str">
        <f>IF(C25&lt;&gt;0,((SUMIFS(TME[[#All],[Claims: Long-Term Care]],TME[[#All],[Reporting Year]],2019,TME[[#All],[Insurance Category Code]],'Data Validation Checks'!A60))/'Data Validation Checks'!C25),"NA")</f>
        <v>NA</v>
      </c>
      <c r="S60" s="152" t="str">
        <f>IF(C25&lt;&gt;0,((SUMIFS(TME[[#All],[Claims: Retail Pharmacy]],TME[[#All],[Reporting Year]],2019,TME[[#All],[Insurance Category Code]],'Data Validation Checks'!A60))/'Data Validation Checks'!C25),"NA")</f>
        <v>NA</v>
      </c>
      <c r="T60" s="152" t="str">
        <f>IF(C25&lt;&gt;0,((SUMIFS(TME[[#All],[Claims: Other]],TME[[#All],[Reporting Year]],2019,TME[[#All],[Insurance Category Code]],'Data Validation Checks'!A60))/'Data Validation Checks'!C25),"NA")</f>
        <v>NA</v>
      </c>
      <c r="U60" s="176" t="str">
        <f>IF(C25&lt;&gt;0,((SUMIFS(TME[[#All],[Total Non-Claims Spending]],TME[[#All],[Reporting Year]],2019,TME[[#All],[Insurance Category Code]],'Data Validation Checks'!A60))/'Data Validation Checks'!C25),"NA")</f>
        <v>NA</v>
      </c>
      <c r="V60" s="175" t="str">
        <f>IF(D25&lt;&gt;0,((SUMIFS(TME[[#All],[Total Non-Truncated Claims and Non-Claims Spending]],TME[[#All],[Reporting Year]],2020,TME[[#All],[Insurance Category Code]],'Data Validation Checks'!A60))/'Data Validation Checks'!D25),"NA")</f>
        <v>NA</v>
      </c>
      <c r="W60" s="152" t="str">
        <f>IF(D25&lt;&gt;0,((SUMIFS(TME[[#All],[Claims: Hospital Inpatient]],TME[[#All],[Reporting Year]],2020,TME[[#All],[Insurance Category Code]],'Data Validation Checks'!A60))/'Data Validation Checks'!D25),"NA")</f>
        <v>NA</v>
      </c>
      <c r="X60" s="152" t="str">
        <f>IF(D25&lt;&gt;0,((SUMIFS(TME[[#All],[Claims: Hospital Outpatient]],TME[[#All],[Reporting Year]],2020,TME[[#All],[Insurance Category Code]],'Data Validation Checks'!A60))/'Data Validation Checks'!D25),"NA")</f>
        <v>NA</v>
      </c>
      <c r="Y60" s="152" t="str">
        <f>IF(D25&lt;&gt;0,((SUMIFS(TME[[#All],[Claims: Professional, Primary Care Providers]],TME[[#All],[Reporting Year]],2020,TME[[#All],[Insurance Category Code]],'Data Validation Checks'!A60))/'Data Validation Checks'!D25),"NA")</f>
        <v>NA</v>
      </c>
      <c r="Z60" s="152" t="str">
        <f>IF(D25&lt;&gt;0,((SUMIFS(TME[[#All],[Claims: Professional, Specialty Providers]],TME[[#All],[Reporting Year]],2020,TME[[#All],[Insurance Category Code]],'Data Validation Checks'!A60))/'Data Validation Checks'!D25),"NA")</f>
        <v>NA</v>
      </c>
      <c r="AA60" s="152" t="str">
        <f>IF(D25&lt;&gt;0,((SUMIFS(TME[[#All],[Claims: Professional, Other Providers]],TME[[#All],[Reporting Year]],2020,TME[[#All],[Insurance Category Code]],'Data Validation Checks'!A60))/'Data Validation Checks'!D25),"NA")</f>
        <v>NA</v>
      </c>
      <c r="AB60" s="152" t="str">
        <f>IF(D25&lt;&gt;0,((SUMIFS(TME[[#All],[Claims: Long-Term Care]],TME[[#All],[Reporting Year]],2020,TME[[#All],[Insurance Category Code]],'Data Validation Checks'!A60))/'Data Validation Checks'!D25),"NA")</f>
        <v>NA</v>
      </c>
      <c r="AC60" s="152" t="str">
        <f>IF(D25&lt;&gt;0,((SUMIFS(TME[[#All],[Claims: Retail Pharmacy]],TME[[#All],[Reporting Year]],2020,TME[[#All],[Insurance Category Code]],'Data Validation Checks'!A60))/'Data Validation Checks'!D25),"NA")</f>
        <v>NA</v>
      </c>
      <c r="AD60" s="152" t="str">
        <f>IF(D25&lt;&gt;0,((SUMIFS(TME[[#All],[Claims: Other]],TME[[#All],[Reporting Year]],2020,TME[[#All],[Insurance Category Code]],'Data Validation Checks'!A60))/'Data Validation Checks'!D25),"NA")</f>
        <v>NA</v>
      </c>
      <c r="AE60" s="176" t="str">
        <f>IF(D25&lt;&gt;0,((SUMIFS(TME[[#All],[Total Non-Claims Spending]],TME[[#All],[Reporting Year]],2020,TME[[#All],[Insurance Category Code]],'Data Validation Checks'!A60))/'Data Validation Checks'!D25),"NA")</f>
        <v>NA</v>
      </c>
      <c r="AF60" s="175" t="str">
        <f>IF(E25&lt;&gt;0,((SUMIFS(TME[[#All],[Total Non-Truncated Claims and Non-Claims Spending]],TME[[#All],[Reporting Year]],2021,TME[[#All],[Insurance Category Code]],'Data Validation Checks'!A60))/'Data Validation Checks'!E25),"NA")</f>
        <v>NA</v>
      </c>
      <c r="AG60" s="152" t="str">
        <f>IF(E25&lt;&gt;0,((SUMIFS(TME[[#All],[Claims: Hospital Inpatient]],TME[[#All],[Reporting Year]],2021,TME[[#All],[Insurance Category Code]],'Data Validation Checks'!A60))/'Data Validation Checks'!E25),"NA")</f>
        <v>NA</v>
      </c>
      <c r="AH60" s="152" t="str">
        <f>IF(E25&lt;&gt;0,((SUMIFS(TME[[#All],[Claims: Hospital Outpatient]],TME[[#All],[Reporting Year]],2021,TME[[#All],[Insurance Category Code]],'Data Validation Checks'!A60))/'Data Validation Checks'!E25),"NA")</f>
        <v>NA</v>
      </c>
      <c r="AI60" s="152" t="str">
        <f>IF(E25&lt;&gt;0,((SUMIFS(TME[[#All],[Claims: Professional, Primary Care Providers]],TME[[#All],[Reporting Year]],2021,TME[[#All],[Insurance Category Code]],'Data Validation Checks'!A60))/'Data Validation Checks'!E25),"NA")</f>
        <v>NA</v>
      </c>
      <c r="AJ60" s="152" t="str">
        <f>IF(E25&lt;&gt;0,((SUMIFS(TME[[#All],[Claims: Professional, Specialty Providers]],TME[[#All],[Reporting Year]],2021,TME[[#All],[Insurance Category Code]],'Data Validation Checks'!A60))/'Data Validation Checks'!E25),"NA")</f>
        <v>NA</v>
      </c>
      <c r="AK60" s="152" t="str">
        <f>IF(E25&lt;&gt;0,((SUMIFS(TME[[#All],[Claims: Professional, Other Providers]],TME[[#All],[Reporting Year]],2021,TME[[#All],[Insurance Category Code]],'Data Validation Checks'!A60))/'Data Validation Checks'!E25),"NA")</f>
        <v>NA</v>
      </c>
      <c r="AL60" s="152" t="str">
        <f>IF(E25&lt;&gt;0,((SUMIFS(TME[[#All],[Claims: Long-Term Care]],TME[[#All],[Reporting Year]],2021,TME[[#All],[Insurance Category Code]],'Data Validation Checks'!A60))/'Data Validation Checks'!E25),"NA")</f>
        <v>NA</v>
      </c>
      <c r="AM60" s="152" t="str">
        <f>IF(E25&lt;&gt;0,((SUMIFS(TME[[#All],[Claims: Retail Pharmacy]],TME[[#All],[Reporting Year]],2021,TME[[#All],[Insurance Category Code]],'Data Validation Checks'!A60))/'Data Validation Checks'!E25),"NA")</f>
        <v>NA</v>
      </c>
      <c r="AN60" s="152" t="str">
        <f>IF(E25&lt;&gt;0,((SUMIFS(TME[[#All],[Claims: Other]],TME[[#All],[Reporting Year]],2021,TME[[#All],[Insurance Category Code]],'Data Validation Checks'!A60))/'Data Validation Checks'!E25),"NA")</f>
        <v>NA</v>
      </c>
      <c r="AO60" s="176" t="str">
        <f>IF(E25&lt;&gt;0,((SUMIFS(TME[[#All],[Total Non-Claims Spending]],TME[[#All],[Reporting Year]],2021,TME[[#All],[Insurance Category Code]],'Data Validation Checks'!A60))/'Data Validation Checks'!E25),"NA")</f>
        <v>NA</v>
      </c>
    </row>
    <row r="61" spans="1:41" ht="58.5" thickBot="1" x14ac:dyDescent="0.4">
      <c r="A61" s="174" t="s">
        <v>304</v>
      </c>
      <c r="B61" s="177" t="str">
        <f>IFERROR(IF(ABS(B58/B57-1)&lt;10%,"No","Yes"),"NA")</f>
        <v>NA</v>
      </c>
      <c r="C61" s="165" t="str">
        <f t="shared" ref="C61:K61" si="12">IFERROR(IF(ABS(C58/C57-1)&lt;10%,"No","Yes"),"NA")</f>
        <v>NA</v>
      </c>
      <c r="D61" s="165" t="str">
        <f t="shared" si="12"/>
        <v>NA</v>
      </c>
      <c r="E61" s="165" t="str">
        <f t="shared" si="12"/>
        <v>NA</v>
      </c>
      <c r="F61" s="165" t="str">
        <f t="shared" si="12"/>
        <v>NA</v>
      </c>
      <c r="G61" s="165" t="str">
        <f t="shared" si="12"/>
        <v>NA</v>
      </c>
      <c r="H61" s="165" t="str">
        <f t="shared" si="12"/>
        <v>NA</v>
      </c>
      <c r="I61" s="165" t="str">
        <f t="shared" si="12"/>
        <v>NA</v>
      </c>
      <c r="J61" s="165" t="str">
        <f t="shared" si="12"/>
        <v>NA</v>
      </c>
      <c r="K61" s="166" t="str">
        <f t="shared" si="12"/>
        <v>NA</v>
      </c>
      <c r="L61" s="177" t="str">
        <f>IFERROR(IF(ABS(L58/L57-1)&lt;10%,"No","Yes"),"NA")</f>
        <v>NA</v>
      </c>
      <c r="M61" s="165" t="str">
        <f t="shared" ref="M61:U61" si="13">IFERROR(IF(ABS(M58/M57-1)&lt;10%,"No","Yes"),"NA")</f>
        <v>NA</v>
      </c>
      <c r="N61" s="165" t="str">
        <f t="shared" si="13"/>
        <v>NA</v>
      </c>
      <c r="O61" s="165" t="str">
        <f t="shared" si="13"/>
        <v>NA</v>
      </c>
      <c r="P61" s="165" t="str">
        <f t="shared" si="13"/>
        <v>NA</v>
      </c>
      <c r="Q61" s="165" t="str">
        <f t="shared" si="13"/>
        <v>NA</v>
      </c>
      <c r="R61" s="165" t="str">
        <f t="shared" si="13"/>
        <v>NA</v>
      </c>
      <c r="S61" s="165" t="str">
        <f t="shared" si="13"/>
        <v>NA</v>
      </c>
      <c r="T61" s="165" t="str">
        <f t="shared" si="13"/>
        <v>NA</v>
      </c>
      <c r="U61" s="166" t="str">
        <f t="shared" si="13"/>
        <v>NA</v>
      </c>
      <c r="V61" s="177" t="str">
        <f>IFERROR(IF(ABS(V58/V57-1)&lt;10%,"No","Yes"),"NA")</f>
        <v>NA</v>
      </c>
      <c r="W61" s="165" t="str">
        <f t="shared" ref="W61:AE61" si="14">IFERROR(IF(ABS(W58/W57-1)&lt;10%,"No","Yes"),"NA")</f>
        <v>NA</v>
      </c>
      <c r="X61" s="165" t="str">
        <f t="shared" si="14"/>
        <v>NA</v>
      </c>
      <c r="Y61" s="165" t="str">
        <f t="shared" si="14"/>
        <v>NA</v>
      </c>
      <c r="Z61" s="165" t="str">
        <f t="shared" si="14"/>
        <v>NA</v>
      </c>
      <c r="AA61" s="165" t="str">
        <f t="shared" si="14"/>
        <v>NA</v>
      </c>
      <c r="AB61" s="165" t="str">
        <f t="shared" si="14"/>
        <v>NA</v>
      </c>
      <c r="AC61" s="165" t="str">
        <f t="shared" si="14"/>
        <v>NA</v>
      </c>
      <c r="AD61" s="165" t="str">
        <f t="shared" si="14"/>
        <v>NA</v>
      </c>
      <c r="AE61" s="166" t="str">
        <f t="shared" si="14"/>
        <v>NA</v>
      </c>
      <c r="AF61" s="177" t="str">
        <f>IFERROR(IF(ABS(AF58/AF57-1)&lt;10%,"No","Yes"),"NA")</f>
        <v>NA</v>
      </c>
      <c r="AG61" s="165" t="str">
        <f t="shared" ref="AG61:AO61" si="15">IFERROR(IF(ABS(AG58/AG57-1)&lt;10%,"No","Yes"),"NA")</f>
        <v>NA</v>
      </c>
      <c r="AH61" s="165" t="str">
        <f t="shared" si="15"/>
        <v>NA</v>
      </c>
      <c r="AI61" s="165" t="str">
        <f t="shared" si="15"/>
        <v>NA</v>
      </c>
      <c r="AJ61" s="165" t="str">
        <f t="shared" si="15"/>
        <v>NA</v>
      </c>
      <c r="AK61" s="165" t="str">
        <f t="shared" si="15"/>
        <v>NA</v>
      </c>
      <c r="AL61" s="165" t="str">
        <f t="shared" si="15"/>
        <v>NA</v>
      </c>
      <c r="AM61" s="165" t="str">
        <f t="shared" si="15"/>
        <v>NA</v>
      </c>
      <c r="AN61" s="165" t="str">
        <f t="shared" si="15"/>
        <v>NA</v>
      </c>
      <c r="AO61" s="166" t="str">
        <f t="shared" si="15"/>
        <v>NA</v>
      </c>
    </row>
  </sheetData>
  <mergeCells count="29">
    <mergeCell ref="F31:I31"/>
    <mergeCell ref="Z30:AG30"/>
    <mergeCell ref="J31:M31"/>
    <mergeCell ref="N31:Q31"/>
    <mergeCell ref="R31:U31"/>
    <mergeCell ref="V31:Y31"/>
    <mergeCell ref="Z31:AC31"/>
    <mergeCell ref="AD31:AG31"/>
    <mergeCell ref="N41:S41"/>
    <mergeCell ref="T41:Y41"/>
    <mergeCell ref="A41:A42"/>
    <mergeCell ref="A30:A32"/>
    <mergeCell ref="A8:A9"/>
    <mergeCell ref="A18:A19"/>
    <mergeCell ref="B41:G41"/>
    <mergeCell ref="H41:M41"/>
    <mergeCell ref="B30:I30"/>
    <mergeCell ref="J30:Q30"/>
    <mergeCell ref="R30:Y30"/>
    <mergeCell ref="B8:E8"/>
    <mergeCell ref="F8:I8"/>
    <mergeCell ref="J8:M8"/>
    <mergeCell ref="N8:Q8"/>
    <mergeCell ref="B31:E31"/>
    <mergeCell ref="V53:AE53"/>
    <mergeCell ref="AF53:AO53"/>
    <mergeCell ref="A53:A54"/>
    <mergeCell ref="B53:K53"/>
    <mergeCell ref="L53:U53"/>
  </mergeCells>
  <conditionalFormatting sqref="D10:D14">
    <cfRule type="cellIs" dxfId="524" priority="88" operator="equal">
      <formula>"Yes"</formula>
    </cfRule>
  </conditionalFormatting>
  <conditionalFormatting sqref="D10:D14">
    <cfRule type="cellIs" dxfId="523" priority="86" operator="equal">
      <formula>"No"</formula>
    </cfRule>
  </conditionalFormatting>
  <conditionalFormatting sqref="D33:D36">
    <cfRule type="cellIs" dxfId="522" priority="83" operator="equal">
      <formula>"Yes"</formula>
    </cfRule>
  </conditionalFormatting>
  <conditionalFormatting sqref="D33:D36">
    <cfRule type="cellIs" dxfId="521" priority="82" operator="equal">
      <formula>"No"</formula>
    </cfRule>
  </conditionalFormatting>
  <conditionalFormatting sqref="H33:H36">
    <cfRule type="cellIs" dxfId="520" priority="81" operator="equal">
      <formula>"Yes"</formula>
    </cfRule>
  </conditionalFormatting>
  <conditionalFormatting sqref="H33:H36">
    <cfRule type="cellIs" dxfId="519" priority="80" operator="equal">
      <formula>"No"</formula>
    </cfRule>
  </conditionalFormatting>
  <conditionalFormatting sqref="D43:D48">
    <cfRule type="cellIs" dxfId="518" priority="75" operator="equal">
      <formula>"Yes"</formula>
    </cfRule>
  </conditionalFormatting>
  <conditionalFormatting sqref="D43:D48">
    <cfRule type="cellIs" dxfId="517" priority="74" operator="equal">
      <formula>"No"</formula>
    </cfRule>
  </conditionalFormatting>
  <conditionalFormatting sqref="G43:G48">
    <cfRule type="cellIs" dxfId="516" priority="71" operator="equal">
      <formula>"Yes"</formula>
    </cfRule>
  </conditionalFormatting>
  <conditionalFormatting sqref="G43:G48">
    <cfRule type="cellIs" dxfId="515" priority="70" operator="equal">
      <formula>"No"</formula>
    </cfRule>
  </conditionalFormatting>
  <conditionalFormatting sqref="H10:H14">
    <cfRule type="cellIs" dxfId="514" priority="67" operator="equal">
      <formula>"Yes"</formula>
    </cfRule>
  </conditionalFormatting>
  <conditionalFormatting sqref="H10:H14">
    <cfRule type="cellIs" dxfId="513" priority="66" operator="equal">
      <formula>"No"</formula>
    </cfRule>
  </conditionalFormatting>
  <conditionalFormatting sqref="L10:L14">
    <cfRule type="cellIs" dxfId="512" priority="65" operator="equal">
      <formula>"Yes"</formula>
    </cfRule>
  </conditionalFormatting>
  <conditionalFormatting sqref="L10:L14">
    <cfRule type="cellIs" dxfId="511" priority="64" operator="equal">
      <formula>"No"</formula>
    </cfRule>
  </conditionalFormatting>
  <conditionalFormatting sqref="P10:P14">
    <cfRule type="cellIs" dxfId="510" priority="63" operator="equal">
      <formula>"Yes"</formula>
    </cfRule>
  </conditionalFormatting>
  <conditionalFormatting sqref="P10:P14">
    <cfRule type="cellIs" dxfId="509" priority="62" operator="equal">
      <formula>"No"</formula>
    </cfRule>
  </conditionalFormatting>
  <conditionalFormatting sqref="L33:L36">
    <cfRule type="cellIs" dxfId="508" priority="53" operator="equal">
      <formula>"Yes"</formula>
    </cfRule>
  </conditionalFormatting>
  <conditionalFormatting sqref="L33:L36">
    <cfRule type="cellIs" dxfId="507" priority="52" operator="equal">
      <formula>"No"</formula>
    </cfRule>
  </conditionalFormatting>
  <conditionalFormatting sqref="P33:P36">
    <cfRule type="cellIs" dxfId="506" priority="51" operator="equal">
      <formula>"Yes"</formula>
    </cfRule>
  </conditionalFormatting>
  <conditionalFormatting sqref="P33:P36">
    <cfRule type="cellIs" dxfId="505" priority="50" operator="equal">
      <formula>"No"</formula>
    </cfRule>
  </conditionalFormatting>
  <conditionalFormatting sqref="T33:T36">
    <cfRule type="cellIs" dxfId="504" priority="49" operator="equal">
      <formula>"Yes"</formula>
    </cfRule>
  </conditionalFormatting>
  <conditionalFormatting sqref="T33:T36">
    <cfRule type="cellIs" dxfId="503" priority="48" operator="equal">
      <formula>"No"</formula>
    </cfRule>
  </conditionalFormatting>
  <conditionalFormatting sqref="X33:X36">
    <cfRule type="cellIs" dxfId="502" priority="47" operator="equal">
      <formula>"Yes"</formula>
    </cfRule>
  </conditionalFormatting>
  <conditionalFormatting sqref="X33:X36">
    <cfRule type="cellIs" dxfId="501" priority="46" operator="equal">
      <formula>"No"</formula>
    </cfRule>
  </conditionalFormatting>
  <conditionalFormatting sqref="AB33:AB36">
    <cfRule type="cellIs" dxfId="500" priority="45" operator="equal">
      <formula>"Yes"</formula>
    </cfRule>
  </conditionalFormatting>
  <conditionalFormatting sqref="AB33:AB36">
    <cfRule type="cellIs" dxfId="499" priority="44" operator="equal">
      <formula>"No"</formula>
    </cfRule>
  </conditionalFormatting>
  <conditionalFormatting sqref="AF33:AF36">
    <cfRule type="cellIs" dxfId="498" priority="43" operator="equal">
      <formula>"Yes"</formula>
    </cfRule>
  </conditionalFormatting>
  <conditionalFormatting sqref="AF33:AF36">
    <cfRule type="cellIs" dxfId="497" priority="42" operator="equal">
      <formula>"No"</formula>
    </cfRule>
  </conditionalFormatting>
  <conditionalFormatting sqref="J43:J48">
    <cfRule type="cellIs" dxfId="496" priority="41" operator="equal">
      <formula>"Yes"</formula>
    </cfRule>
  </conditionalFormatting>
  <conditionalFormatting sqref="J43:J48">
    <cfRule type="cellIs" dxfId="495" priority="40" operator="equal">
      <formula>"No"</formula>
    </cfRule>
  </conditionalFormatting>
  <conditionalFormatting sqref="P43:P48">
    <cfRule type="cellIs" dxfId="494" priority="37" operator="equal">
      <formula>"Yes"</formula>
    </cfRule>
  </conditionalFormatting>
  <conditionalFormatting sqref="P43:P48">
    <cfRule type="cellIs" dxfId="493" priority="36" operator="equal">
      <formula>"No"</formula>
    </cfRule>
  </conditionalFormatting>
  <conditionalFormatting sqref="M43:M48">
    <cfRule type="cellIs" dxfId="492" priority="29" operator="equal">
      <formula>"Yes"</formula>
    </cfRule>
  </conditionalFormatting>
  <conditionalFormatting sqref="M43:M48">
    <cfRule type="cellIs" dxfId="491" priority="28" operator="equal">
      <formula>"No"</formula>
    </cfRule>
  </conditionalFormatting>
  <conditionalFormatting sqref="S43:S48">
    <cfRule type="cellIs" dxfId="490" priority="27" operator="equal">
      <formula>"Yes"</formula>
    </cfRule>
  </conditionalFormatting>
  <conditionalFormatting sqref="S43:S48">
    <cfRule type="cellIs" dxfId="489" priority="26" operator="equal">
      <formula>"No"</formula>
    </cfRule>
  </conditionalFormatting>
  <conditionalFormatting sqref="V43:V48">
    <cfRule type="cellIs" dxfId="488" priority="23" operator="equal">
      <formula>"Yes"</formula>
    </cfRule>
  </conditionalFormatting>
  <conditionalFormatting sqref="V43:V48">
    <cfRule type="cellIs" dxfId="487" priority="22" operator="equal">
      <formula>"No"</formula>
    </cfRule>
  </conditionalFormatting>
  <conditionalFormatting sqref="Y43:Y48">
    <cfRule type="cellIs" dxfId="486" priority="21" operator="equal">
      <formula>"Yes"</formula>
    </cfRule>
  </conditionalFormatting>
  <conditionalFormatting sqref="Y43:Y48">
    <cfRule type="cellIs" dxfId="485" priority="20" operator="equal">
      <formula>"No"</formula>
    </cfRule>
  </conditionalFormatting>
  <conditionalFormatting sqref="B61">
    <cfRule type="cellIs" dxfId="484" priority="18" operator="equal">
      <formula>"No"</formula>
    </cfRule>
    <cfRule type="cellIs" dxfId="483" priority="19" operator="equal">
      <formula>"Yes"</formula>
    </cfRule>
  </conditionalFormatting>
  <conditionalFormatting sqref="C61:K61">
    <cfRule type="cellIs" dxfId="482" priority="14" operator="equal">
      <formula>"No"</formula>
    </cfRule>
    <cfRule type="cellIs" dxfId="481" priority="15" operator="equal">
      <formula>"Yes"</formula>
    </cfRule>
  </conditionalFormatting>
  <conditionalFormatting sqref="L61">
    <cfRule type="cellIs" dxfId="480" priority="12" operator="equal">
      <formula>"No"</formula>
    </cfRule>
    <cfRule type="cellIs" dxfId="479" priority="13" operator="equal">
      <formula>"Yes"</formula>
    </cfRule>
  </conditionalFormatting>
  <conditionalFormatting sqref="M61:U61">
    <cfRule type="cellIs" dxfId="478" priority="10" operator="equal">
      <formula>"No"</formula>
    </cfRule>
    <cfRule type="cellIs" dxfId="477" priority="11" operator="equal">
      <formula>"Yes"</formula>
    </cfRule>
  </conditionalFormatting>
  <conditionalFormatting sqref="V61">
    <cfRule type="cellIs" dxfId="476" priority="8" operator="equal">
      <formula>"No"</formula>
    </cfRule>
    <cfRule type="cellIs" dxfId="475" priority="9" operator="equal">
      <formula>"Yes"</formula>
    </cfRule>
  </conditionalFormatting>
  <conditionalFormatting sqref="W61:AE61">
    <cfRule type="cellIs" dxfId="474" priority="6" operator="equal">
      <formula>"No"</formula>
    </cfRule>
    <cfRule type="cellIs" dxfId="473" priority="7" operator="equal">
      <formula>"Yes"</formula>
    </cfRule>
  </conditionalFormatting>
  <conditionalFormatting sqref="AF61">
    <cfRule type="cellIs" dxfId="472" priority="4" operator="equal">
      <formula>"No"</formula>
    </cfRule>
    <cfRule type="cellIs" dxfId="471" priority="5" operator="equal">
      <formula>"Yes"</formula>
    </cfRule>
  </conditionalFormatting>
  <conditionalFormatting sqref="AG61:AO61">
    <cfRule type="cellIs" dxfId="470" priority="2" operator="equal">
      <formula>"No"</formula>
    </cfRule>
    <cfRule type="cellIs" dxfId="469" priority="3" operator="equal">
      <formula>"Yes"</formula>
    </cfRule>
  </conditionalFormatting>
  <conditionalFormatting sqref="B55:AO60">
    <cfRule type="cellIs" dxfId="468" priority="1" operator="lessThan">
      <formula>10</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5C8FB-6105-4E68-A490-08BC5DA96B9B}">
  <dimension ref="B2:Q333"/>
  <sheetViews>
    <sheetView zoomScaleNormal="100" workbookViewId="0">
      <selection activeCell="B2" sqref="B2"/>
    </sheetView>
  </sheetViews>
  <sheetFormatPr defaultRowHeight="14.5" x14ac:dyDescent="0.35"/>
  <cols>
    <col min="2" max="2" width="56.54296875" customWidth="1"/>
    <col min="3" max="4" width="22" customWidth="1"/>
    <col min="7" max="7" width="55.81640625" customWidth="1"/>
    <col min="8" max="9" width="21.81640625" customWidth="1"/>
    <col min="12" max="12" width="56.1796875" customWidth="1"/>
    <col min="13" max="14" width="19.26953125" customWidth="1"/>
  </cols>
  <sheetData>
    <row r="2" spans="2:17" ht="18.5" x14ac:dyDescent="0.45">
      <c r="B2" s="81" t="s">
        <v>18</v>
      </c>
    </row>
    <row r="3" spans="2:17" ht="48" customHeight="1" x14ac:dyDescent="0.35">
      <c r="B3" s="214" t="s">
        <v>286</v>
      </c>
      <c r="C3" s="214"/>
      <c r="D3" s="214"/>
      <c r="E3" s="214"/>
      <c r="F3" s="214"/>
      <c r="G3" s="214"/>
      <c r="H3" s="214"/>
      <c r="I3" s="214"/>
      <c r="J3" s="214"/>
      <c r="K3" s="214"/>
      <c r="L3" s="214"/>
      <c r="M3" s="214"/>
      <c r="N3" s="214"/>
      <c r="O3" s="214"/>
      <c r="P3" s="214"/>
      <c r="Q3" s="214"/>
    </row>
    <row r="4" spans="2:17" ht="21" x14ac:dyDescent="0.35">
      <c r="B4" s="122" t="s">
        <v>281</v>
      </c>
      <c r="C4" s="109"/>
      <c r="D4" s="109"/>
      <c r="E4" s="109"/>
      <c r="F4" s="109"/>
      <c r="G4" s="109"/>
      <c r="H4" s="109"/>
      <c r="I4" s="109"/>
      <c r="J4" s="109"/>
      <c r="K4" s="109"/>
      <c r="L4" s="109"/>
      <c r="M4" s="109"/>
      <c r="N4" s="109"/>
      <c r="O4" s="109"/>
      <c r="P4" s="109"/>
      <c r="Q4" s="109"/>
    </row>
    <row r="5" spans="2:17" ht="12.75" customHeight="1" x14ac:dyDescent="0.35"/>
    <row r="6" spans="2:17" x14ac:dyDescent="0.35">
      <c r="B6" s="71" t="s">
        <v>209</v>
      </c>
    </row>
    <row r="7" spans="2:17" x14ac:dyDescent="0.35">
      <c r="B7" s="86" t="s">
        <v>210</v>
      </c>
      <c r="C7" s="87" t="s">
        <v>211</v>
      </c>
      <c r="D7" s="87" t="s">
        <v>212</v>
      </c>
      <c r="E7" s="88" t="s">
        <v>213</v>
      </c>
    </row>
    <row r="8" spans="2:17" x14ac:dyDescent="0.35">
      <c r="B8" s="64" t="s">
        <v>214</v>
      </c>
      <c r="C8" s="91">
        <f>SUM(C9:C10)</f>
        <v>0</v>
      </c>
      <c r="D8" s="91">
        <f>SUM(D9:D10)</f>
        <v>0</v>
      </c>
      <c r="E8" s="143" t="str">
        <f>IFERROR(Table1[[#This Row],[2019]]/Table1[[#This Row],[2018]]-1,"NA")</f>
        <v>NA</v>
      </c>
    </row>
    <row r="9" spans="2:17" x14ac:dyDescent="0.35">
      <c r="B9" s="82" t="s">
        <v>215</v>
      </c>
      <c r="C9" s="91">
        <f>SUMIFS(TME[[#All],[Member Months]],TME[[#All],[Reporting Year]],Table1[[#Headers],[2018]],TME[[#All],[Insurance Category Code]],3)</f>
        <v>0</v>
      </c>
      <c r="D9" s="91">
        <f>SUMIFS(TME[[#All],[Member Months]],TME[[#All],[Reporting Year]],Table1[[#Headers],[2019]],TME[[#All],[Insurance Category Code]],3)</f>
        <v>0</v>
      </c>
      <c r="E9" s="143" t="str">
        <f>IFERROR(Table1[[#This Row],[2019]]/Table1[[#This Row],[2018]]-1,"NA")</f>
        <v>NA</v>
      </c>
    </row>
    <row r="10" spans="2:17" x14ac:dyDescent="0.35">
      <c r="B10" s="82" t="s">
        <v>216</v>
      </c>
      <c r="C10" s="91">
        <f>SUMIFS(TME[[#All],[Member Months]],TME[[#All],[Reporting Year]],Table1[[#Headers],[2018]],TME[[#All],[Insurance Category Code]],4)</f>
        <v>0</v>
      </c>
      <c r="D10" s="91">
        <f>SUMIFS(TME[[#All],[Member Months]],TME[[#All],[Reporting Year]],Table1[[#Headers],[2019]],TME[[#All],[Insurance Category Code]],4)</f>
        <v>0</v>
      </c>
      <c r="E10" s="143" t="str">
        <f>IFERROR(Table1[[#This Row],[2019]]/Table1[[#This Row],[2018]]-1,"NA")</f>
        <v>NA</v>
      </c>
    </row>
    <row r="11" spans="2:17" x14ac:dyDescent="0.35">
      <c r="B11" s="64" t="s">
        <v>217</v>
      </c>
      <c r="C11" s="91">
        <f>SUM(C12:C13)</f>
        <v>0</v>
      </c>
      <c r="D11" s="91">
        <f>SUM(D12:D13)</f>
        <v>0</v>
      </c>
      <c r="E11" s="143" t="str">
        <f>IFERROR(Table1[[#This Row],[2019]]/Table1[[#This Row],[2018]]-1,"NA")</f>
        <v>NA</v>
      </c>
    </row>
    <row r="12" spans="2:17" x14ac:dyDescent="0.35">
      <c r="B12" s="82" t="s">
        <v>218</v>
      </c>
      <c r="C12" s="91">
        <f>SUMIFS(TME[[#All],[Member Months]],TME[[#All],[Reporting Year]],Table1[[#Headers],[2018]],TME[[#All],[Insurance Category Code]],1)</f>
        <v>0</v>
      </c>
      <c r="D12" s="91">
        <f>SUMIFS(TME[[#All],[Member Months]],TME[[#All],[Reporting Year]],Table1[[#Headers],[2019]],TME[[#All],[Insurance Category Code]],1)</f>
        <v>0</v>
      </c>
      <c r="E12" s="143" t="str">
        <f>IFERROR(Table1[[#This Row],[2019]]/Table1[[#This Row],[2018]]-1,"NA")</f>
        <v>NA</v>
      </c>
    </row>
    <row r="13" spans="2:17" x14ac:dyDescent="0.35">
      <c r="B13" s="82" t="s">
        <v>219</v>
      </c>
      <c r="C13" s="91">
        <f>SUMIFS(TME[[#All],[Member Months]],TME[[#All],[Reporting Year]],Table1[[#Headers],[2018]],TME[[#All],[Insurance Category Code]],5)</f>
        <v>0</v>
      </c>
      <c r="D13" s="91">
        <f>SUMIFS(TME[[#All],[Member Months]],TME[[#All],[Reporting Year]],Table1[[#Headers],[2019]],TME[[#All],[Insurance Category Code]],5)</f>
        <v>0</v>
      </c>
      <c r="E13" s="143" t="str">
        <f>IFERROR(Table1[[#This Row],[2019]]/Table1[[#This Row],[2018]]-1,"NA")</f>
        <v>NA</v>
      </c>
    </row>
    <row r="14" spans="2:17" x14ac:dyDescent="0.35">
      <c r="B14" s="64" t="s">
        <v>220</v>
      </c>
      <c r="C14" s="91">
        <f>SUM(C15:C16)</f>
        <v>0</v>
      </c>
      <c r="D14" s="91">
        <f>SUM(D15:D16)</f>
        <v>0</v>
      </c>
      <c r="E14" s="143" t="str">
        <f>IFERROR(Table1[[#This Row],[2019]]/Table1[[#This Row],[2018]]-1,"NA")</f>
        <v>NA</v>
      </c>
    </row>
    <row r="15" spans="2:17" x14ac:dyDescent="0.35">
      <c r="B15" s="82" t="s">
        <v>221</v>
      </c>
      <c r="C15" s="91">
        <f>SUMIFS(TME[[#All],[Member Months]],TME[[#All],[Reporting Year]],Table1[[#Headers],[2018]],TME[[#All],[Insurance Category Code]],2)</f>
        <v>0</v>
      </c>
      <c r="D15" s="91">
        <f>SUMIFS(TME[[#All],[Member Months]],TME[[#All],[Reporting Year]],Table1[[#Headers],[2019]],TME[[#All],[Insurance Category Code]],2)</f>
        <v>0</v>
      </c>
      <c r="E15" s="143" t="str">
        <f>IFERROR(Table1[[#This Row],[2019]]/Table1[[#This Row],[2018]]-1,"NA")</f>
        <v>NA</v>
      </c>
    </row>
    <row r="16" spans="2:17" x14ac:dyDescent="0.35">
      <c r="B16" s="82" t="s">
        <v>222</v>
      </c>
      <c r="C16" s="91">
        <f>SUMIFS(TME[[#All],[Member Months]],TME[[#All],[Reporting Year]],Table1[[#Headers],[2018]],TME[[#All],[Insurance Category Code]],6)</f>
        <v>0</v>
      </c>
      <c r="D16" s="91">
        <f>SUMIFS(TME[[#All],[Member Months]],TME[[#All],[Reporting Year]],Table1[[#Headers],[2019]],TME[[#All],[Insurance Category Code]],6)</f>
        <v>0</v>
      </c>
      <c r="E16" s="143" t="str">
        <f>IFERROR(Table1[[#This Row],[2019]]/Table1[[#This Row],[2018]]-1,"NA")</f>
        <v>NA</v>
      </c>
    </row>
    <row r="17" spans="2:10" x14ac:dyDescent="0.35">
      <c r="B17" s="89" t="s">
        <v>192</v>
      </c>
      <c r="C17" s="92">
        <f>SUM(C8,C11,C14)</f>
        <v>0</v>
      </c>
      <c r="D17" s="92">
        <f>SUM(D8,D11,D14)</f>
        <v>0</v>
      </c>
      <c r="E17" s="143" t="str">
        <f>IFERROR(Table1[[#This Row],[2019]]/Table1[[#This Row],[2018]]-1,"NA")</f>
        <v>NA</v>
      </c>
    </row>
    <row r="19" spans="2:10" x14ac:dyDescent="0.35">
      <c r="B19" s="71" t="s">
        <v>223</v>
      </c>
      <c r="G19" s="71" t="s">
        <v>224</v>
      </c>
    </row>
    <row r="20" spans="2:10" x14ac:dyDescent="0.35">
      <c r="B20" s="70" t="s">
        <v>306</v>
      </c>
      <c r="G20" s="70" t="s">
        <v>306</v>
      </c>
    </row>
    <row r="21" spans="2:10" x14ac:dyDescent="0.35">
      <c r="B21" s="86" t="s">
        <v>210</v>
      </c>
      <c r="C21" s="87" t="s">
        <v>211</v>
      </c>
      <c r="D21" s="87" t="s">
        <v>212</v>
      </c>
      <c r="E21" s="88" t="s">
        <v>213</v>
      </c>
      <c r="G21" s="86" t="s">
        <v>210</v>
      </c>
      <c r="H21" s="87" t="s">
        <v>211</v>
      </c>
      <c r="I21" s="87" t="s">
        <v>212</v>
      </c>
      <c r="J21" s="88" t="s">
        <v>213</v>
      </c>
    </row>
    <row r="22" spans="2:10" x14ac:dyDescent="0.35">
      <c r="B22" s="64" t="s">
        <v>214</v>
      </c>
      <c r="C22" s="93">
        <f>SUM(C23:C24)</f>
        <v>0</v>
      </c>
      <c r="D22" s="93">
        <f>SUM(D23:D24)</f>
        <v>0</v>
      </c>
      <c r="E22" s="143" t="str">
        <f>IFERROR(Table17[[#This Row],[2019]]/Table17[[#This Row],[2018]]-1,"NA")</f>
        <v>NA</v>
      </c>
      <c r="G22" s="64" t="s">
        <v>214</v>
      </c>
      <c r="H22" s="93" t="str">
        <f>IFERROR(Table17[[#This Row],[2018]]/C8,"NA")</f>
        <v>NA</v>
      </c>
      <c r="I22" s="93" t="str">
        <f>IFERROR(Table17[[#This Row],[2019]]/D8,"NA")</f>
        <v>NA</v>
      </c>
      <c r="J22" s="142" t="str">
        <f>IFERROR(Table178[[#This Row],[2019]]/Table178[[#This Row],[2018]]-1,"NA")</f>
        <v>NA</v>
      </c>
    </row>
    <row r="23" spans="2:10" x14ac:dyDescent="0.35">
      <c r="B23" s="82" t="s">
        <v>215</v>
      </c>
      <c r="C23" s="93">
        <f>SUMIFS(TME[[#All],[Total Non-Truncated Claims and Non-Claims Spending]],TME[[#All],[Reporting Year]],Table17[[#Headers],[2018]],TME[[#All],[Insurance Category Code]],3)</f>
        <v>0</v>
      </c>
      <c r="D23" s="93">
        <f>SUMIFS(TME[[#All],[Total Non-Truncated Claims and Non-Claims Spending]],TME[[#All],[Reporting Year]],Table17[[#Headers],[2019]],TME[[#All],[Insurance Category Code]],3)</f>
        <v>0</v>
      </c>
      <c r="E23" s="143" t="str">
        <f>IFERROR(Table17[[#This Row],[2019]]/Table17[[#This Row],[2018]]-1,"NA")</f>
        <v>NA</v>
      </c>
      <c r="G23" s="82" t="s">
        <v>215</v>
      </c>
      <c r="H23" s="93" t="str">
        <f>IFERROR(Table17[[#This Row],[2018]]/C9,"NA")</f>
        <v>NA</v>
      </c>
      <c r="I23" s="93" t="str">
        <f>IFERROR(Table17[[#This Row],[2019]]/D9,"NA")</f>
        <v>NA</v>
      </c>
      <c r="J23" s="142" t="str">
        <f>IFERROR(Table178[[#This Row],[2019]]/Table178[[#This Row],[2018]]-1,"NA")</f>
        <v>NA</v>
      </c>
    </row>
    <row r="24" spans="2:10" x14ac:dyDescent="0.35">
      <c r="B24" s="82" t="s">
        <v>216</v>
      </c>
      <c r="C24" s="93">
        <f>SUMIFS(TME[[#All],[Total Non-Truncated Claims and Non-Claims Spending]],TME[[#All],[Reporting Year]],Table17[[#Headers],[2018]],TME[[#All],[Insurance Category Code]],4)</f>
        <v>0</v>
      </c>
      <c r="D24" s="93">
        <f>SUMIFS(TME[[#All],[Total Non-Truncated Claims and Non-Claims Spending]],TME[[#All],[Reporting Year]],Table17[[#Headers],[2019]],TME[[#All],[Insurance Category Code]],4)</f>
        <v>0</v>
      </c>
      <c r="E24" s="143" t="str">
        <f>IFERROR(Table17[[#This Row],[2019]]/Table17[[#This Row],[2018]]-1,"NA")</f>
        <v>NA</v>
      </c>
      <c r="G24" s="82" t="s">
        <v>216</v>
      </c>
      <c r="H24" s="93" t="str">
        <f>IFERROR(Table17[[#This Row],[2018]]/C10,"NA")</f>
        <v>NA</v>
      </c>
      <c r="I24" s="93" t="str">
        <f>IFERROR(Table17[[#This Row],[2019]]/D10,"NA")</f>
        <v>NA</v>
      </c>
      <c r="J24" s="142" t="str">
        <f>IFERROR(Table178[[#This Row],[2019]]/Table178[[#This Row],[2018]]-1,"NA")</f>
        <v>NA</v>
      </c>
    </row>
    <row r="25" spans="2:10" x14ac:dyDescent="0.35">
      <c r="B25" s="64" t="s">
        <v>217</v>
      </c>
      <c r="C25" s="93">
        <f>SUM(C26:C27)</f>
        <v>0</v>
      </c>
      <c r="D25" s="93">
        <f>SUM(D26:D27)</f>
        <v>0</v>
      </c>
      <c r="E25" s="143" t="str">
        <f>IFERROR(Table17[[#This Row],[2019]]/Table17[[#This Row],[2018]]-1,"NA")</f>
        <v>NA</v>
      </c>
      <c r="G25" s="64" t="s">
        <v>217</v>
      </c>
      <c r="H25" s="93" t="str">
        <f>IFERROR(Table17[[#This Row],[2018]]/C11,"NA")</f>
        <v>NA</v>
      </c>
      <c r="I25" s="93" t="str">
        <f>IFERROR(Table17[[#This Row],[2019]]/D11,"NA")</f>
        <v>NA</v>
      </c>
      <c r="J25" s="142" t="str">
        <f>IFERROR(Table178[[#This Row],[2019]]/Table178[[#This Row],[2018]]-1,"NA")</f>
        <v>NA</v>
      </c>
    </row>
    <row r="26" spans="2:10" x14ac:dyDescent="0.35">
      <c r="B26" s="82" t="s">
        <v>218</v>
      </c>
      <c r="C26" s="93">
        <f>SUMIFS(TME[[#All],[Total Non-Truncated Claims and Non-Claims Spending]],TME[[#All],[Reporting Year]],Table17[[#Headers],[2018]],TME[[#All],[Insurance Category Code]],1)</f>
        <v>0</v>
      </c>
      <c r="D26" s="93">
        <f>SUMIFS(TME[[#All],[Total Non-Truncated Claims and Non-Claims Spending]],TME[[#All],[Reporting Year]],Table17[[#Headers],[2019]],TME[[#All],[Insurance Category Code]],1)</f>
        <v>0</v>
      </c>
      <c r="E26" s="143" t="str">
        <f>IFERROR(Table17[[#This Row],[2019]]/Table17[[#This Row],[2018]]-1,"NA")</f>
        <v>NA</v>
      </c>
      <c r="G26" s="82" t="s">
        <v>218</v>
      </c>
      <c r="H26" s="93" t="str">
        <f>IFERROR(Table17[[#This Row],[2018]]/C12,"NA")</f>
        <v>NA</v>
      </c>
      <c r="I26" s="93" t="str">
        <f>IFERROR(Table17[[#This Row],[2019]]/D12,"NA")</f>
        <v>NA</v>
      </c>
      <c r="J26" s="142" t="str">
        <f>IFERROR(Table178[[#This Row],[2019]]/Table178[[#This Row],[2018]]-1,"NA")</f>
        <v>NA</v>
      </c>
    </row>
    <row r="27" spans="2:10" x14ac:dyDescent="0.35">
      <c r="B27" s="82" t="s">
        <v>219</v>
      </c>
      <c r="C27" s="93">
        <f>SUMIFS(TME[[#All],[Total Non-Truncated Claims and Non-Claims Spending]],TME[[#All],[Reporting Year]],Table17[[#Headers],[2018]],TME[[#All],[Insurance Category Code]],5)</f>
        <v>0</v>
      </c>
      <c r="D27" s="93">
        <f>SUMIFS(TME[[#All],[Total Non-Truncated Claims and Non-Claims Spending]],TME[[#All],[Reporting Year]],Table17[[#Headers],[2019]],TME[[#All],[Insurance Category Code]],5)</f>
        <v>0</v>
      </c>
      <c r="E27" s="143" t="str">
        <f>IFERROR(Table17[[#This Row],[2019]]/Table17[[#This Row],[2018]]-1,"NA")</f>
        <v>NA</v>
      </c>
      <c r="G27" s="82" t="s">
        <v>219</v>
      </c>
      <c r="H27" s="93" t="str">
        <f>IFERROR(Table17[[#This Row],[2018]]/C13,"NA")</f>
        <v>NA</v>
      </c>
      <c r="I27" s="93" t="str">
        <f>IFERROR(Table17[[#This Row],[2019]]/D13,"NA")</f>
        <v>NA</v>
      </c>
      <c r="J27" s="142" t="str">
        <f>IFERROR(Table178[[#This Row],[2019]]/Table178[[#This Row],[2018]]-1,"NA")</f>
        <v>NA</v>
      </c>
    </row>
    <row r="28" spans="2:10" x14ac:dyDescent="0.35">
      <c r="B28" s="64" t="s">
        <v>220</v>
      </c>
      <c r="C28" s="93">
        <f>SUM(C29:C30)</f>
        <v>0</v>
      </c>
      <c r="D28" s="93">
        <f>SUM(D29:D30)</f>
        <v>0</v>
      </c>
      <c r="E28" s="143" t="str">
        <f>IFERROR(Table17[[#This Row],[2019]]/Table17[[#This Row],[2018]]-1,"NA")</f>
        <v>NA</v>
      </c>
      <c r="G28" s="64" t="s">
        <v>220</v>
      </c>
      <c r="H28" s="93" t="str">
        <f>IFERROR(Table17[[#This Row],[2018]]/C14,"NA")</f>
        <v>NA</v>
      </c>
      <c r="I28" s="93" t="str">
        <f>IFERROR(Table17[[#This Row],[2019]]/D14,"NA")</f>
        <v>NA</v>
      </c>
      <c r="J28" s="142" t="str">
        <f>IFERROR(Table178[[#This Row],[2019]]/Table178[[#This Row],[2018]]-1,"NA")</f>
        <v>NA</v>
      </c>
    </row>
    <row r="29" spans="2:10" x14ac:dyDescent="0.35">
      <c r="B29" s="82" t="s">
        <v>221</v>
      </c>
      <c r="C29" s="93">
        <f>SUMIFS(TME[[#All],[Total Non-Truncated Claims and Non-Claims Spending]],TME[[#All],[Reporting Year]],Table17[[#Headers],[2018]],TME[[#All],[Insurance Category Code]],2)</f>
        <v>0</v>
      </c>
      <c r="D29" s="93">
        <f>SUMIFS(TME[[#All],[Total Non-Truncated Claims and Non-Claims Spending]],TME[[#All],[Reporting Year]],Table17[[#Headers],[2019]],TME[[#All],[Insurance Category Code]],2)</f>
        <v>0</v>
      </c>
      <c r="E29" s="143" t="str">
        <f>IFERROR(Table17[[#This Row],[2019]]/Table17[[#This Row],[2018]]-1,"NA")</f>
        <v>NA</v>
      </c>
      <c r="G29" s="82" t="s">
        <v>221</v>
      </c>
      <c r="H29" s="93" t="str">
        <f>IFERROR(Table17[[#This Row],[2018]]/C15,"NA")</f>
        <v>NA</v>
      </c>
      <c r="I29" s="93" t="str">
        <f>IFERROR(Table17[[#This Row],[2019]]/D15,"NA")</f>
        <v>NA</v>
      </c>
      <c r="J29" s="142" t="str">
        <f>IFERROR(Table178[[#This Row],[2019]]/Table178[[#This Row],[2018]]-1,"NA")</f>
        <v>NA</v>
      </c>
    </row>
    <row r="30" spans="2:10" x14ac:dyDescent="0.35">
      <c r="B30" s="82" t="s">
        <v>222</v>
      </c>
      <c r="C30" s="93">
        <f>SUMIFS(TME[[#All],[Total Non-Truncated Claims and Non-Claims Spending]],TME[[#All],[Reporting Year]],Table17[[#Headers],[2018]],TME[[#All],[Insurance Category Code]],6)</f>
        <v>0</v>
      </c>
      <c r="D30" s="93">
        <f>SUMIFS(TME[[#All],[Total Non-Truncated Claims and Non-Claims Spending]],TME[[#All],[Reporting Year]],Table17[[#Headers],[2019]],TME[[#All],[Insurance Category Code]],6)</f>
        <v>0</v>
      </c>
      <c r="E30" s="143" t="str">
        <f>IFERROR(Table17[[#This Row],[2019]]/Table17[[#This Row],[2018]]-1,"NA")</f>
        <v>NA</v>
      </c>
      <c r="G30" s="82" t="s">
        <v>222</v>
      </c>
      <c r="H30" s="93" t="str">
        <f>IFERROR(Table17[[#This Row],[2018]]/C16,"NA")</f>
        <v>NA</v>
      </c>
      <c r="I30" s="93" t="str">
        <f>IFERROR(Table17[[#This Row],[2019]]/D16,"NA")</f>
        <v>NA</v>
      </c>
      <c r="J30" s="142" t="str">
        <f>IFERROR(Table178[[#This Row],[2019]]/Table178[[#This Row],[2018]]-1,"NA")</f>
        <v>NA</v>
      </c>
    </row>
    <row r="31" spans="2:10" x14ac:dyDescent="0.35">
      <c r="B31" s="89" t="s">
        <v>192</v>
      </c>
      <c r="C31" s="94">
        <f>SUM(C22,C25,C28)</f>
        <v>0</v>
      </c>
      <c r="D31" s="94">
        <f>SUM(D22,D25,D28)</f>
        <v>0</v>
      </c>
      <c r="E31" s="143" t="str">
        <f>IFERROR(Table17[[#This Row],[2019]]/Table17[[#This Row],[2018]]-1,"NA")</f>
        <v>NA</v>
      </c>
      <c r="G31" s="89" t="s">
        <v>192</v>
      </c>
      <c r="H31" s="93" t="str">
        <f>IFERROR(Table17[[#This Row],[2018]]/C17,"NA")</f>
        <v>NA</v>
      </c>
      <c r="I31" s="93" t="str">
        <f>IFERROR(Table17[[#This Row],[2019]]/D17,"NA")</f>
        <v>NA</v>
      </c>
      <c r="J31" s="142" t="str">
        <f>IFERROR(Table178[[#This Row],[2019]]/Table178[[#This Row],[2018]]-1,"NA")</f>
        <v>NA</v>
      </c>
    </row>
    <row r="33" spans="2:15" x14ac:dyDescent="0.35">
      <c r="B33" s="71" t="s">
        <v>225</v>
      </c>
      <c r="G33" s="71" t="s">
        <v>226</v>
      </c>
      <c r="L33" s="71" t="s">
        <v>227</v>
      </c>
    </row>
    <row r="34" spans="2:15" x14ac:dyDescent="0.35">
      <c r="B34" s="70" t="s">
        <v>307</v>
      </c>
      <c r="G34" s="70" t="s">
        <v>307</v>
      </c>
      <c r="L34" s="70" t="s">
        <v>307</v>
      </c>
    </row>
    <row r="35" spans="2:15" x14ac:dyDescent="0.35">
      <c r="B35" s="69" t="s">
        <v>228</v>
      </c>
      <c r="C35" s="149" t="s">
        <v>211</v>
      </c>
      <c r="D35" s="149" t="s">
        <v>212</v>
      </c>
      <c r="E35" s="150" t="s">
        <v>213</v>
      </c>
      <c r="G35" s="69" t="s">
        <v>228</v>
      </c>
      <c r="H35" s="149" t="s">
        <v>211</v>
      </c>
      <c r="I35" s="149" t="s">
        <v>212</v>
      </c>
      <c r="J35" s="150" t="s">
        <v>213</v>
      </c>
      <c r="L35" s="69" t="s">
        <v>228</v>
      </c>
      <c r="M35" s="149" t="s">
        <v>211</v>
      </c>
      <c r="N35" s="149" t="s">
        <v>212</v>
      </c>
      <c r="O35" s="150" t="s">
        <v>213</v>
      </c>
    </row>
    <row r="36" spans="2:15" x14ac:dyDescent="0.35">
      <c r="B36" s="64" t="s">
        <v>90</v>
      </c>
      <c r="C36" s="141">
        <f>SUM(H36,M36)</f>
        <v>0</v>
      </c>
      <c r="D36" s="141">
        <f>SUM(I36,N36)</f>
        <v>0</v>
      </c>
      <c r="E36" s="143" t="str">
        <f>IFERROR(Table9[[#This Row],[2019]]/Table9[[#This Row],[2018]]-1,"NA")</f>
        <v>NA</v>
      </c>
      <c r="G36" s="64" t="s">
        <v>90</v>
      </c>
      <c r="H36" s="141">
        <f>SUMIFS(TME[[#All],[Member Months]],TME[[#All],[Reporting Year]],2018,TME[[#All],[Insurance Category Code]],3)</f>
        <v>0</v>
      </c>
      <c r="I36" s="141">
        <f>SUMIFS(TME[[#All],[Member Months]],TME[[#All],[Reporting Year]],2019,TME[[#All],[Insurance Category Code]],3)</f>
        <v>0</v>
      </c>
      <c r="J36" s="143" t="str">
        <f>IFERROR(Table911[[#This Row],[2019]]/Table911[[#This Row],[2018]]-1,"NA")</f>
        <v>NA</v>
      </c>
      <c r="L36" s="64" t="s">
        <v>90</v>
      </c>
      <c r="M36" s="141">
        <f>SUMIFS(TME[[#All],[Member Months]],TME[[#All],[Reporting Year]],2018,TME[[#All],[Insurance Category Code]],4)</f>
        <v>0</v>
      </c>
      <c r="N36" s="141">
        <f>SUMIFS(TME[[#All],[Member Months]],TME[[#All],[Reporting Year]],2019,TME[[#All],[Insurance Category Code]],4)</f>
        <v>0</v>
      </c>
      <c r="O36" s="143" t="str">
        <f>IFERROR(Table91112[[#This Row],[2019]]/Table91112[[#This Row],[2018]]-1,"NA")</f>
        <v>NA</v>
      </c>
    </row>
    <row r="37" spans="2:15" x14ac:dyDescent="0.35">
      <c r="B37" s="64" t="s">
        <v>91</v>
      </c>
      <c r="C37" s="146" t="str">
        <f t="shared" ref="C37:C54" si="0">IFERROR((SUMPRODUCT(ICC3_MemberMonths_2018,H37)+SUMPRODUCT(ICC4_MemberMonths_2018,M37))/Commercial_MemberMonths_2018,"NA")</f>
        <v>NA</v>
      </c>
      <c r="D37" s="146" t="str" cm="1">
        <f t="array" ref="D37">IFERROR((SUMPRODUCT(ICC3_MemberMonths_2019,I37)+SUMPRODUCT(ICC4_MemberMonths_2019,N37))/Commercial_MemberMonths_2019,"NA")</f>
        <v>NA</v>
      </c>
      <c r="E37" s="143" t="str">
        <f>IFERROR(Table9[[#This Row],[2019]]/Table9[[#This Row],[2018]]-1,"NA")</f>
        <v>NA</v>
      </c>
      <c r="G37" s="64" t="s">
        <v>91</v>
      </c>
      <c r="H37" s="146" t="str">
        <f>IFERROR((SUMIFS(TME[[#All],[Claims: Hospital Inpatient]],TME[[#All],[Reporting Year]],2018,TME[[#All],[Insurance Category Code]],3))/ICC3_MemberMonths_2018,"NA")</f>
        <v>NA</v>
      </c>
      <c r="I37" s="146" t="str">
        <f>IFERROR((SUMIFS(TME[[#All],[Claims: Hospital Inpatient]],TME[[#All],[Reporting Year]],2019,TME[[#All],[Insurance Category Code]],3))/ICC3_MemberMonths_2019,"NA")</f>
        <v>NA</v>
      </c>
      <c r="J37" s="143" t="str">
        <f>IFERROR(Table911[[#This Row],[2019]]/Table911[[#This Row],[2018]]-1,"NA")</f>
        <v>NA</v>
      </c>
      <c r="L37" s="64" t="s">
        <v>91</v>
      </c>
      <c r="M37" s="146" t="str">
        <f>IFERROR((SUMIFS(TME[[#All],[Claims: Hospital Inpatient]],TME[[#All],[Reporting Year]],2018,TME[[#All],[Insurance Category Code]],4))/ICC4_MemberMonths_2018,"NA")</f>
        <v>NA</v>
      </c>
      <c r="N37" s="146" t="str">
        <f>IFERROR((SUMIFS(TME[[#All],[Claims: Hospital Inpatient]],TME[[#All],[Reporting Year]],2018,TME[[#All],[Insurance Category Code]],4))/ICC4_MemberMonths_2019,"NA")</f>
        <v>NA</v>
      </c>
      <c r="O37" s="143" t="str">
        <f>IFERROR(Table91112[[#This Row],[2019]]/Table91112[[#This Row],[2018]]-1,"NA")</f>
        <v>NA</v>
      </c>
    </row>
    <row r="38" spans="2:15" x14ac:dyDescent="0.35">
      <c r="B38" s="64" t="s">
        <v>92</v>
      </c>
      <c r="C38" s="146" t="str">
        <f t="shared" si="0"/>
        <v>NA</v>
      </c>
      <c r="D38" s="146" t="str" cm="1">
        <f t="array" ref="D38">IFERROR((SUMPRODUCT(ICC3_MemberMonths_2019,I38)+SUMPRODUCT(ICC4_MemberMonths_2019,N38))/Commercial_MemberMonths_2019,"NA")</f>
        <v>NA</v>
      </c>
      <c r="E38" s="143" t="str">
        <f>IFERROR(Table9[[#This Row],[2019]]/Table9[[#This Row],[2018]]-1,"NA")</f>
        <v>NA</v>
      </c>
      <c r="F38" s="37"/>
      <c r="G38" s="64" t="s">
        <v>92</v>
      </c>
      <c r="H38" s="146" t="str">
        <f>IFERROR((SUMIFS(TME[[#All],[Claims: Hospital Outpatient]],TME[[#All],[Reporting Year]],2018,TME[[#All],[Insurance Category Code]],3))/ICC3_MemberMonths_2018,"NA")</f>
        <v>NA</v>
      </c>
      <c r="I38" s="146" t="str">
        <f>IFERROR((SUMIFS(TME[[#All],[Claims: Hospital Outpatient]],TME[[#All],[Reporting Year]],2019,TME[[#All],[Insurance Category Code]],3))/ICC3_MemberMonths_2019,"NA")</f>
        <v>NA</v>
      </c>
      <c r="J38" s="143" t="str">
        <f>IFERROR(Table911[[#This Row],[2019]]/Table911[[#This Row],[2018]]-1,"NA")</f>
        <v>NA</v>
      </c>
      <c r="L38" s="64" t="s">
        <v>92</v>
      </c>
      <c r="M38" s="146" t="str">
        <f>IFERROR((SUMIFS(TME[[#All],[Claims: Hospital Outpatient]],TME[[#All],[Reporting Year]],2018,TME[[#All],[Insurance Category Code]],4))/ICC4_MemberMonths_2018,"NA")</f>
        <v>NA</v>
      </c>
      <c r="N38" s="146" t="str">
        <f>IFERROR((SUMIFS(TME[[#All],[Claims: Hospital Outpatient]],TME[[#All],[Reporting Year]],2018,TME[[#All],[Insurance Category Code]],4))/ICC4_MemberMonths_2019,"NA")</f>
        <v>NA</v>
      </c>
      <c r="O38" s="143" t="str">
        <f>IFERROR(Table91112[[#This Row],[2019]]/Table91112[[#This Row],[2018]]-1,"NA")</f>
        <v>NA</v>
      </c>
    </row>
    <row r="39" spans="2:15" x14ac:dyDescent="0.35">
      <c r="B39" s="64" t="s">
        <v>93</v>
      </c>
      <c r="C39" s="146" t="str">
        <f t="shared" si="0"/>
        <v>NA</v>
      </c>
      <c r="D39" s="146" t="str" cm="1">
        <f t="array" ref="D39">IFERROR((SUMPRODUCT(ICC3_MemberMonths_2019,I39)+SUMPRODUCT(ICC4_MemberMonths_2019,N39))/Commercial_MemberMonths_2019,"NA")</f>
        <v>NA</v>
      </c>
      <c r="E39" s="143" t="str">
        <f>IFERROR(Table9[[#This Row],[2019]]/Table9[[#This Row],[2018]]-1,"NA")</f>
        <v>NA</v>
      </c>
      <c r="G39" s="64" t="s">
        <v>93</v>
      </c>
      <c r="H39" s="146" t="str">
        <f>IFERROR((SUMIFS(TME[[#All],[Claims: Professional, Primary Care Providers]],TME[[#All],[Reporting Year]],2018,TME[[#All],[Insurance Category Code]],3))/ICC3_MemberMonths_2018,"NA")</f>
        <v>NA</v>
      </c>
      <c r="I39" s="146" t="str">
        <f>IFERROR((SUMIFS(TME[[#All],[Claims: Professional, Primary Care Providers]],TME[[#All],[Reporting Year]],2019,TME[[#All],[Insurance Category Code]],3))/ICC3_MemberMonths_2019,"NA")</f>
        <v>NA</v>
      </c>
      <c r="J39" s="143" t="str">
        <f>IFERROR(Table911[[#This Row],[2019]]/Table911[[#This Row],[2018]]-1,"NA")</f>
        <v>NA</v>
      </c>
      <c r="L39" s="64" t="s">
        <v>93</v>
      </c>
      <c r="M39" s="146" t="str">
        <f>IFERROR((SUMIFS(TME[[#All],[Claims: Professional, Primary Care Providers]],TME[[#All],[Reporting Year]],2018,TME[[#All],[Insurance Category Code]],4))/ICC4_MemberMonths_2018,"NA")</f>
        <v>NA</v>
      </c>
      <c r="N39" s="146" t="str">
        <f>IFERROR((SUMIFS(TME[[#All],[Claims: Professional, Primary Care Providers]],TME[[#All],[Reporting Year]],2018,TME[[#All],[Insurance Category Code]],4))/ICC4_MemberMonths_2019,"NA")</f>
        <v>NA</v>
      </c>
      <c r="O39" s="143" t="str">
        <f>IFERROR(Table91112[[#This Row],[2019]]/Table91112[[#This Row],[2018]]-1,"NA")</f>
        <v>NA</v>
      </c>
    </row>
    <row r="40" spans="2:15" x14ac:dyDescent="0.35">
      <c r="B40" s="64" t="s">
        <v>94</v>
      </c>
      <c r="C40" s="146" t="str">
        <f t="shared" si="0"/>
        <v>NA</v>
      </c>
      <c r="D40" s="146" t="str" cm="1">
        <f t="array" ref="D40">IFERROR((SUMPRODUCT(ICC3_MemberMonths_2019,I40)+SUMPRODUCT(ICC4_MemberMonths_2019,N40))/Commercial_MemberMonths_2019,"NA")</f>
        <v>NA</v>
      </c>
      <c r="E40" s="143" t="str">
        <f>IFERROR(Table9[[#This Row],[2019]]/Table9[[#This Row],[2018]]-1,"NA")</f>
        <v>NA</v>
      </c>
      <c r="G40" s="64" t="s">
        <v>94</v>
      </c>
      <c r="H40" s="146" t="str">
        <f>IFERROR((SUMIFS(TME[[#All],[Claims: Professional, Specialty Providers]],TME[[#All],[Reporting Year]],2018,TME[[#All],[Insurance Category Code]],3))/ICC3_MemberMonths_2018,"NA")</f>
        <v>NA</v>
      </c>
      <c r="I40" s="146" t="str">
        <f>IFERROR((SUMIFS(TME[[#All],[Claims: Professional, Specialty Providers]],TME[[#All],[Reporting Year]],2019,TME[[#All],[Insurance Category Code]],3))/ICC3_MemberMonths_2019,"NA")</f>
        <v>NA</v>
      </c>
      <c r="J40" s="143" t="str">
        <f>IFERROR(Table911[[#This Row],[2019]]/Table911[[#This Row],[2018]]-1,"NA")</f>
        <v>NA</v>
      </c>
      <c r="L40" s="64" t="s">
        <v>94</v>
      </c>
      <c r="M40" s="146" t="str">
        <f>IFERROR((SUMIFS(TME[[#All],[Claims: Professional, Specialty Providers]],TME[[#All],[Reporting Year]],2018,TME[[#All],[Insurance Category Code]],4))/ICC4_MemberMonths_2018,"NA")</f>
        <v>NA</v>
      </c>
      <c r="N40" s="146" t="str">
        <f>IFERROR((SUMIFS(TME[[#All],[Claims: Professional, Specialty Providers]],TME[[#All],[Reporting Year]],2018,TME[[#All],[Insurance Category Code]],4))/ICC4_MemberMonths_2019,"NA")</f>
        <v>NA</v>
      </c>
      <c r="O40" s="143" t="str">
        <f>IFERROR(Table91112[[#This Row],[2019]]/Table91112[[#This Row],[2018]]-1,"NA")</f>
        <v>NA</v>
      </c>
    </row>
    <row r="41" spans="2:15" x14ac:dyDescent="0.35">
      <c r="B41" s="64" t="s">
        <v>95</v>
      </c>
      <c r="C41" s="146" t="str">
        <f t="shared" si="0"/>
        <v>NA</v>
      </c>
      <c r="D41" s="146" t="str" cm="1">
        <f t="array" ref="D41">IFERROR((SUMPRODUCT(ICC3_MemberMonths_2019,I41)+SUMPRODUCT(ICC4_MemberMonths_2019,N41))/Commercial_MemberMonths_2019,"NA")</f>
        <v>NA</v>
      </c>
      <c r="E41" s="143" t="str">
        <f>IFERROR(Table9[[#This Row],[2019]]/Table9[[#This Row],[2018]]-1,"NA")</f>
        <v>NA</v>
      </c>
      <c r="G41" s="64" t="s">
        <v>95</v>
      </c>
      <c r="H41" s="146" t="str">
        <f>IFERROR((SUMIFS(TME[[#All],[Claims: Professional, Other Providers]],TME[[#All],[Reporting Year]],2018,TME[[#All],[Insurance Category Code]],3))/ICC3_MemberMonths_2018,"NA")</f>
        <v>NA</v>
      </c>
      <c r="I41" s="146" t="str">
        <f>IFERROR((SUMIFS(TME[[#All],[Claims: Professional, Other Providers]],TME[[#All],[Reporting Year]],2019,TME[[#All],[Insurance Category Code]],3))/ICC3_MemberMonths_2019,"NA")</f>
        <v>NA</v>
      </c>
      <c r="J41" s="143" t="str">
        <f>IFERROR(Table911[[#This Row],[2019]]/Table911[[#This Row],[2018]]-1,"NA")</f>
        <v>NA</v>
      </c>
      <c r="L41" s="64" t="s">
        <v>95</v>
      </c>
      <c r="M41" s="146" t="str">
        <f>IFERROR((SUMIFS(TME[[#All],[Claims: Professional, Other Providers]],TME[[#All],[Reporting Year]],2018,TME[[#All],[Insurance Category Code]],4))/ICC4_MemberMonths_2018,"NA")</f>
        <v>NA</v>
      </c>
      <c r="N41" s="146" t="str">
        <f>IFERROR((SUMIFS(TME[[#All],[Claims: Professional, Other Providers]],TME[[#All],[Reporting Year]],2018,TME[[#All],[Insurance Category Code]],4))/ICC4_MemberMonths_2019,"NA")</f>
        <v>NA</v>
      </c>
      <c r="O41" s="143" t="str">
        <f>IFERROR(Table91112[[#This Row],[2019]]/Table91112[[#This Row],[2018]]-1,"NA")</f>
        <v>NA</v>
      </c>
    </row>
    <row r="42" spans="2:15" x14ac:dyDescent="0.35">
      <c r="B42" s="64" t="s">
        <v>96</v>
      </c>
      <c r="C42" s="146" t="str">
        <f t="shared" si="0"/>
        <v>NA</v>
      </c>
      <c r="D42" s="146" t="str" cm="1">
        <f t="array" ref="D42">IFERROR((SUMPRODUCT(ICC3_MemberMonths_2019,I42)+SUMPRODUCT(ICC4_MemberMonths_2019,N42))/Commercial_MemberMonths_2019,"NA")</f>
        <v>NA</v>
      </c>
      <c r="E42" s="143" t="str">
        <f>IFERROR(Table9[[#This Row],[2019]]/Table9[[#This Row],[2018]]-1,"NA")</f>
        <v>NA</v>
      </c>
      <c r="G42" s="64" t="s">
        <v>96</v>
      </c>
      <c r="H42" s="146" t="str">
        <f>IFERROR((SUMIFS(TME[[#All],[Claims: Long-Term Care]],TME[[#All],[Reporting Year]],2018,TME[[#All],[Insurance Category Code]],3))/ICC3_MemberMonths_2018,"NA")</f>
        <v>NA</v>
      </c>
      <c r="I42" s="146" t="str">
        <f>IFERROR((SUMIFS(TME[[#All],[Claims: Long-Term Care]],TME[[#All],[Reporting Year]],2019,TME[[#All],[Insurance Category Code]],3))/ICC3_MemberMonths_2019,"NA")</f>
        <v>NA</v>
      </c>
      <c r="J42" s="143" t="str">
        <f>IFERROR(Table911[[#This Row],[2019]]/Table911[[#This Row],[2018]]-1,"NA")</f>
        <v>NA</v>
      </c>
      <c r="L42" s="64" t="s">
        <v>96</v>
      </c>
      <c r="M42" s="146" t="str">
        <f>IFERROR((SUMIFS(TME[[#All],[Claims: Long-Term Care]],TME[[#All],[Reporting Year]],2018,TME[[#All],[Insurance Category Code]],4))/ICC4_MemberMonths_2018,"NA")</f>
        <v>NA</v>
      </c>
      <c r="N42" s="146" t="str">
        <f>IFERROR((SUMIFS(TME[[#All],[Claims: Long-Term Care]],TME[[#All],[Reporting Year]],2018,TME[[#All],[Insurance Category Code]],4))/ICC4_MemberMonths_2019,"NA")</f>
        <v>NA</v>
      </c>
      <c r="O42" s="143" t="str">
        <f>IFERROR(Table91112[[#This Row],[2019]]/Table91112[[#This Row],[2018]]-1,"NA")</f>
        <v>NA</v>
      </c>
    </row>
    <row r="43" spans="2:15" x14ac:dyDescent="0.35">
      <c r="B43" s="64" t="s">
        <v>229</v>
      </c>
      <c r="C43" s="146" t="str">
        <f t="shared" si="0"/>
        <v>NA</v>
      </c>
      <c r="D43" s="146" t="str" cm="1">
        <f t="array" ref="D43">IFERROR((SUMPRODUCT(ICC3_MemberMonths_2019,I43)+SUMPRODUCT(ICC4_MemberMonths_2019,N43))/Commercial_MemberMonths_2019,"NA")</f>
        <v>NA</v>
      </c>
      <c r="E43" s="143" t="str">
        <f>IFERROR(Table9[[#This Row],[2019]]/Table9[[#This Row],[2018]]-1,"NA")</f>
        <v>NA</v>
      </c>
      <c r="G43" s="64" t="s">
        <v>229</v>
      </c>
      <c r="H43" s="146" t="str">
        <f>IFERROR((SUMIFS(TME[[#All],[Claims: Retail Pharmacy]],TME[[#All],[Reporting Year]],2018,TME[[#All],[Insurance Category Code]],3))/ICC3_MemberMonths_2018,"NA")</f>
        <v>NA</v>
      </c>
      <c r="I43" s="146" t="str">
        <f>IFERROR((SUMIFS(TME[[#All],[Claims: Retail Pharmacy]],TME[[#All],[Reporting Year]],2019,TME[[#All],[Insurance Category Code]],3))/ICC3_MemberMonths_2019,"NA")</f>
        <v>NA</v>
      </c>
      <c r="J43" s="143" t="str">
        <f>IFERROR(Table911[[#This Row],[2019]]/Table911[[#This Row],[2018]]-1,"NA")</f>
        <v>NA</v>
      </c>
      <c r="L43" s="64" t="s">
        <v>229</v>
      </c>
      <c r="M43" s="146" t="str">
        <f>IFERROR((SUMIFS(TME[[#All],[Claims: Retail Pharmacy]],TME[[#All],[Reporting Year]],2018,TME[[#All],[Insurance Category Code]],4))/ICC4_MemberMonths_2018,"NA")</f>
        <v>NA</v>
      </c>
      <c r="N43" s="146" t="str">
        <f>IFERROR((SUMIFS(TME[[#All],[Claims: Retail Pharmacy]],TME[[#All],[Reporting Year]],2018,TME[[#All],[Insurance Category Code]],4))/ICC4_MemberMonths_2019,"NA")</f>
        <v>NA</v>
      </c>
      <c r="O43" s="143" t="str">
        <f>IFERROR(Table91112[[#This Row],[2019]]/Table91112[[#This Row],[2018]]-1,"NA")</f>
        <v>NA</v>
      </c>
    </row>
    <row r="44" spans="2:15" x14ac:dyDescent="0.35">
      <c r="B44" s="82" t="s">
        <v>230</v>
      </c>
      <c r="C44" s="146" t="str">
        <f t="shared" si="0"/>
        <v>NA</v>
      </c>
      <c r="D44" s="146" t="str" cm="1">
        <f t="array" ref="D44">IFERROR((SUMPRODUCT(ICC3_MemberMonths_2019,I44)+SUMPRODUCT(ICC4_MemberMonths_2019,N44))/Commercial_MemberMonths_2019,"NA")</f>
        <v>NA</v>
      </c>
      <c r="E44" s="143" t="str">
        <f>IFERROR(Table9[[#This Row],[2019]]/Table9[[#This Row],[2018]]-1,"NA")</f>
        <v>NA</v>
      </c>
      <c r="G44" s="82" t="s">
        <v>230</v>
      </c>
      <c r="H44" s="146" t="str">
        <f>IFERROR((SUMIFS(TME[[#All],[Claims: Retail Pharmacy]],TME[[#All],[Reporting Year]],2018,TME[[#All],[Insurance Category Code]],3))-ABS(SUMIFS(RX_REBATE[[#All],[Total Pharmacy Rebate Amount]],RX_REBATE[[#All],[Reporting Year]],2018,RX_REBATE[[#All],[Insurance Category Code]],3))/ICC3_MemberMonths_2018,"NA")</f>
        <v>NA</v>
      </c>
      <c r="I44" s="146" t="str">
        <f>IFERROR((SUMIFS(TME[[#All],[Claims: Retail Pharmacy]],TME[[#All],[Reporting Year]],2019,TME[[#All],[Insurance Category Code]],3))-ABS(SUMIFS(RX_REBATE[[#All],[Total Pharmacy Rebate Amount]],RX_REBATE[[#All],[Reporting Year]],2019,RX_REBATE[[#All],[Insurance Category Code]],3))/ICC3_MemberMonths_2019,"NA")</f>
        <v>NA</v>
      </c>
      <c r="J44" s="143" t="str">
        <f>IFERROR(Table911[[#This Row],[2019]]/Table911[[#This Row],[2018]]-1,"NA")</f>
        <v>NA</v>
      </c>
      <c r="L44" s="82" t="s">
        <v>230</v>
      </c>
      <c r="M44" s="146" t="str">
        <f>IFERROR((SUMIFS(TME[[#All],[Claims: Retail Pharmacy]],TME[[#All],[Reporting Year]],2018,TME[[#All],[Insurance Category Code]],4))-ABS(SUMIFS(RX_REBATE[[#All],[Total Pharmacy Rebate Amount]],RX_REBATE[[#All],[Reporting Year]],2018,RX_REBATE[[#All],[Insurance Category Code]],4))/ICC4_MemberMonths_2018,"NA")</f>
        <v>NA</v>
      </c>
      <c r="N44" s="146" t="str">
        <f>IFERROR((SUMIFS(TME[[#All],[Claims: Retail Pharmacy]],TME[[#All],[Reporting Year]],2019,TME[[#All],[Insurance Category Code]],4))-ABS(SUMIFS(RX_REBATE[[#All],[Total Pharmacy Rebate Amount]],RX_REBATE[[#All],[Reporting Year]],2019,RX_REBATE[[#All],[Insurance Category Code]],4))/ICC4_MemberMonths_2019,"NA")</f>
        <v>NA</v>
      </c>
      <c r="O44" s="143" t="str">
        <f>IFERROR(Table91112[[#This Row],[2019]]/Table91112[[#This Row],[2018]]-1,"NA")</f>
        <v>NA</v>
      </c>
    </row>
    <row r="45" spans="2:15" x14ac:dyDescent="0.35">
      <c r="B45" s="82" t="s">
        <v>231</v>
      </c>
      <c r="C45" s="146" t="str">
        <f t="shared" si="0"/>
        <v>NA</v>
      </c>
      <c r="D45" s="146" t="str" cm="1">
        <f t="array" ref="D45">IFERROR((SUMPRODUCT(ICC3_MemberMonths_2019,I45)+SUMPRODUCT(ICC4_MemberMonths_2019,N45))/Commercial_MemberMonths_2019,"NA")</f>
        <v>NA</v>
      </c>
      <c r="E45" s="143" t="str">
        <f>IFERROR(Table9[[#This Row],[2019]]/Table9[[#This Row],[2018]]-1,"NA")</f>
        <v>NA</v>
      </c>
      <c r="G45" s="82" t="s">
        <v>231</v>
      </c>
      <c r="H45" s="146" t="str">
        <f>IFERROR(-ABS(SUMIFS(RX_REBATE[[#All],[Total Pharmacy Rebate Amount]],RX_REBATE[[#All],[Reporting Year]],2018,RX_REBATE[[#All],[Insurance Category Code]],3))/ICC3_MemberMonths_2018,"NA")</f>
        <v>NA</v>
      </c>
      <c r="I45" s="146" t="str">
        <f>IFERROR(-ABS(SUMIFS(RX_REBATE[[#All],[Total Pharmacy Rebate Amount]],RX_REBATE[[#All],[Reporting Year]],2019,RX_REBATE[[#All],[Insurance Category Code]],3))/ICC3_MemberMonths_2019,"NA")</f>
        <v>NA</v>
      </c>
      <c r="J45" s="143" t="str">
        <f>IFERROR(Table911[[#This Row],[2019]]/Table911[[#This Row],[2018]]-1,"NA")</f>
        <v>NA</v>
      </c>
      <c r="L45" s="82" t="s">
        <v>231</v>
      </c>
      <c r="M45" s="146" t="str">
        <f>IFERROR(-ABS(SUMIFS(RX_REBATE[[#All],[Total Pharmacy Rebate Amount]],RX_REBATE[[#All],[Reporting Year]],2018,RX_REBATE[[#All],[Insurance Category Code]],4))/ICC4_MemberMonths_2018,"NA")</f>
        <v>NA</v>
      </c>
      <c r="N45" s="146" t="str">
        <f>IFERROR(-ABS(SUMIFS(RX_REBATE[[#All],[Total Pharmacy Rebate Amount]],RX_REBATE[[#All],[Reporting Year]],2019,RX_REBATE[[#All],[Insurance Category Code]],4))/ICC4_MemberMonths_2019,"NA")</f>
        <v>NA</v>
      </c>
      <c r="O45" s="143" t="str">
        <f>IFERROR(Table91112[[#This Row],[2019]]/Table91112[[#This Row],[2018]]-1,"NA")</f>
        <v>NA</v>
      </c>
    </row>
    <row r="46" spans="2:15" x14ac:dyDescent="0.35">
      <c r="B46" s="64" t="s">
        <v>98</v>
      </c>
      <c r="C46" s="146" t="str">
        <f t="shared" si="0"/>
        <v>NA</v>
      </c>
      <c r="D46" s="146" t="str" cm="1">
        <f t="array" ref="D46">IFERROR((SUMPRODUCT(ICC3_MemberMonths_2019,I46)+SUMPRODUCT(ICC4_MemberMonths_2019,N46))/Commercial_MemberMonths_2019,"NA")</f>
        <v>NA</v>
      </c>
      <c r="E46" s="143" t="str">
        <f>IFERROR(Table9[[#This Row],[2019]]/Table9[[#This Row],[2018]]-1,"NA")</f>
        <v>NA</v>
      </c>
      <c r="G46" s="64" t="s">
        <v>98</v>
      </c>
      <c r="H46" s="146" t="str">
        <f>IFERROR((SUMIFS(TME[[#All],[Claims: Other]],TME[[#All],[Reporting Year]],2018,TME[[#All],[Insurance Category Code]],3))/ICC3_MemberMonths_2018,"NA")</f>
        <v>NA</v>
      </c>
      <c r="I46" s="146" t="str">
        <f>IFERROR((SUMIFS(TME[[#All],[Claims: Other]],TME[[#All],[Reporting Year]],2019,TME[[#All],[Insurance Category Code]],3))/ICC3_MemberMonths_2019,"NA")</f>
        <v>NA</v>
      </c>
      <c r="J46" s="143" t="str">
        <f>IFERROR(Table911[[#This Row],[2019]]/Table911[[#This Row],[2018]]-1,"NA")</f>
        <v>NA</v>
      </c>
      <c r="L46" s="64" t="s">
        <v>98</v>
      </c>
      <c r="M46" s="146" t="str">
        <f>IFERROR((SUMIFS(TME[[#All],[Claims: Other]],TME[[#All],[Reporting Year]],2018,TME[[#All],[Insurance Category Code]],4))/ICC4_MemberMonths_2018,"NA")</f>
        <v>NA</v>
      </c>
      <c r="N46" s="146" t="str">
        <f>IFERROR((SUMIFS(TME[[#All],[Claims: Other]],TME[[#All],[Reporting Year]],2019,TME[[#All],[Insurance Category Code]],4))/ICC4_MemberMonths_2019,"NA")</f>
        <v>NA</v>
      </c>
      <c r="O46" s="143" t="str">
        <f>IFERROR(Table91112[[#This Row],[2019]]/Table91112[[#This Row],[2018]]-1,"NA")</f>
        <v>NA</v>
      </c>
    </row>
    <row r="47" spans="2:15" x14ac:dyDescent="0.35">
      <c r="B47" s="83" t="s">
        <v>204</v>
      </c>
      <c r="C47" s="147" t="str">
        <f t="shared" si="0"/>
        <v>NA</v>
      </c>
      <c r="D47" s="147" t="str" cm="1">
        <f t="array" ref="D47">IFERROR((SUMPRODUCT(ICC3_MemberMonths_2019,I47)+SUMPRODUCT(ICC4_MemberMonths_2019,N47))/Commercial_MemberMonths_2019,"NA")</f>
        <v>NA</v>
      </c>
      <c r="E47" s="144" t="str">
        <f>IFERROR(Table9[[#This Row],[2019]]/Table9[[#This Row],[2018]]-1,"NA")</f>
        <v>NA</v>
      </c>
      <c r="G47" s="83" t="s">
        <v>204</v>
      </c>
      <c r="H47" s="147" t="str">
        <f>IFERROR((SUMIFS(TME[[#All],[Total Non-Truncated Claims Spending]],TME[[#All],[Reporting Year]],2018,TME[[#All],[Insurance Category Code]],3))/ICC3_MemberMonths_2018,"NA")</f>
        <v>NA</v>
      </c>
      <c r="I47" s="147" t="str">
        <f>IFERROR((SUMIFS(TME[[#All],[Total Non-Truncated Claims Spending]],TME[[#All],[Reporting Year]],2019,TME[[#All],[Insurance Category Code]],3))/ICC3_MemberMonths_2019,"NA")</f>
        <v>NA</v>
      </c>
      <c r="J47" s="144" t="str">
        <f>IFERROR(Table911[[#This Row],[2019]]/Table911[[#This Row],[2018]]-1,"NA")</f>
        <v>NA</v>
      </c>
      <c r="L47" s="83" t="s">
        <v>204</v>
      </c>
      <c r="M47" s="147" t="str">
        <f>IFERROR((SUMIFS(TME[[#All],[Total Non-Truncated Claims Spending]],TME[[#All],[Reporting Year]],2018,TME[[#All],[Insurance Category Code]],4))/ICC4_MemberMonths_2018,"NA")</f>
        <v>NA</v>
      </c>
      <c r="N47" s="147" t="str">
        <f>IFERROR((SUMIFS(TME[[#All],[Total Non-Truncated Claims Spending]],TME[[#All],[Reporting Year]],2019,TME[[#All],[Insurance Category Code]],4))/ICC4_MemberMonths_2019,"NA")</f>
        <v>NA</v>
      </c>
      <c r="O47" s="144" t="str">
        <f>IFERROR(Table91112[[#This Row],[2019]]/Table91112[[#This Row],[2018]]-1,"NA")</f>
        <v>NA</v>
      </c>
    </row>
    <row r="48" spans="2:15" x14ac:dyDescent="0.35">
      <c r="B48" s="83" t="s">
        <v>205</v>
      </c>
      <c r="C48" s="147" t="str">
        <f t="shared" si="0"/>
        <v>NA</v>
      </c>
      <c r="D48" s="147" t="str" cm="1">
        <f t="array" ref="D48">IFERROR((SUMPRODUCT(ICC3_MemberMonths_2019,I48)+SUMPRODUCT(ICC4_MemberMonths_2019,N48))/Commercial_MemberMonths_2019,"NA")</f>
        <v>NA</v>
      </c>
      <c r="E48" s="144" t="str">
        <f>IFERROR(Table9[[#This Row],[2019]]/Table9[[#This Row],[2018]]-1,"NA")</f>
        <v>NA</v>
      </c>
      <c r="G48" s="83" t="s">
        <v>205</v>
      </c>
      <c r="H48" s="147" t="str">
        <f>IFERROR((SUMIFS(TME[[#All],[Total Truncated Claims Spending]],TME[[#All],[Reporting Year]],2018,TME[[#All],[Insurance Category Code]],3))/ICC3_MemberMonths_2018,"NA")</f>
        <v>NA</v>
      </c>
      <c r="I48" s="147" t="str">
        <f>IFERROR((SUMIFS(TME[[#All],[Total Truncated Claims Spending]],TME[[#All],[Reporting Year]],2019,TME[[#All],[Insurance Category Code]],3))/ICC3_MemberMonths_2019,"NA")</f>
        <v>NA</v>
      </c>
      <c r="J48" s="144" t="str">
        <f>IFERROR(Table911[[#This Row],[2019]]/Table911[[#This Row],[2018]]-1,"NA")</f>
        <v>NA</v>
      </c>
      <c r="L48" s="83" t="s">
        <v>205</v>
      </c>
      <c r="M48" s="147" t="str">
        <f>IFERROR((SUMIFS(TME[[#All],[Total Truncated Claims Spending]],TME[[#All],[Reporting Year]],2018,TME[[#All],[Insurance Category Code]],4))/ICC4_MemberMonths_2018,"NA")</f>
        <v>NA</v>
      </c>
      <c r="N48" s="147" t="str">
        <f>IFERROR((SUMIFS(TME[[#All],[Total Truncated Claims Spending]],TME[[#All],[Reporting Year]],2019,TME[[#All],[Insurance Category Code]],4))/ICC4_MemberMonths_2019,"NA")</f>
        <v>NA</v>
      </c>
      <c r="O48" s="144" t="str">
        <f>IFERROR(Table91112[[#This Row],[2019]]/Table91112[[#This Row],[2018]]-1,"NA")</f>
        <v>NA</v>
      </c>
    </row>
    <row r="49" spans="2:15" x14ac:dyDescent="0.35">
      <c r="B49" s="64" t="s">
        <v>99</v>
      </c>
      <c r="C49" s="146" t="str">
        <f t="shared" si="0"/>
        <v>NA</v>
      </c>
      <c r="D49" s="146" t="str" cm="1">
        <f t="array" ref="D49">IFERROR((SUMPRODUCT(ICC3_MemberMonths_2019,I49)+SUMPRODUCT(ICC4_MemberMonths_2019,N49))/Commercial_MemberMonths_2019,"NA")</f>
        <v>NA</v>
      </c>
      <c r="E49" s="143" t="str">
        <f>IFERROR(Table9[[#This Row],[2019]]/Table9[[#This Row],[2018]]-1,"NA")</f>
        <v>NA</v>
      </c>
      <c r="G49" s="64" t="s">
        <v>99</v>
      </c>
      <c r="H49" s="146" t="str">
        <f>IFERROR((SUMIFS(TME[[#All],[Non-Claims: Capitation or Bundled Pmts]],TME[[#All],[Reporting Year]],2018,TME[[#All],[Insurance Category Code]],3))/ICC3_MemberMonths_2018,"NA")</f>
        <v>NA</v>
      </c>
      <c r="I49" s="146" t="str">
        <f>IFERROR((SUMIFS(TME[[#All],[Non-Claims: Capitation or Bundled Pmts]],TME[[#All],[Reporting Year]],2019,TME[[#All],[Insurance Category Code]],3))/ICC3_MemberMonths_2019,"NA")</f>
        <v>NA</v>
      </c>
      <c r="J49" s="143" t="str">
        <f>IFERROR(Table911[[#This Row],[2019]]/Table911[[#This Row],[2018]]-1,"NA")</f>
        <v>NA</v>
      </c>
      <c r="L49" s="64" t="s">
        <v>99</v>
      </c>
      <c r="M49" s="146" t="str">
        <f>IFERROR((SUMIFS(TME[[#All],[Non-Claims: Capitation or Bundled Pmts]],TME[[#All],[Reporting Year]],2018,TME[[#All],[Insurance Category Code]],4))/ICC4_MemberMonths_2018,"NA")</f>
        <v>NA</v>
      </c>
      <c r="N49" s="146" t="str">
        <f>IFERROR((SUMIFS(TME[[#All],[Non-Claims: Capitation or Bundled Pmts]],TME[[#All],[Reporting Year]],2019,TME[[#All],[Insurance Category Code]],4))/ICC4_MemberMonths_2019,"NA")</f>
        <v>NA</v>
      </c>
      <c r="O49" s="143" t="str">
        <f>IFERROR(Table91112[[#This Row],[2019]]/Table91112[[#This Row],[2018]]-1,"NA")</f>
        <v>NA</v>
      </c>
    </row>
    <row r="50" spans="2:15" x14ac:dyDescent="0.35">
      <c r="B50" s="64" t="s">
        <v>100</v>
      </c>
      <c r="C50" s="146" t="str">
        <f t="shared" si="0"/>
        <v>NA</v>
      </c>
      <c r="D50" s="146" t="str" cm="1">
        <f t="array" ref="D50">IFERROR((SUMPRODUCT(ICC3_MemberMonths_2019,I50)+SUMPRODUCT(ICC4_MemberMonths_2019,N50))/Commercial_MemberMonths_2019,"NA")</f>
        <v>NA</v>
      </c>
      <c r="E50" s="143" t="str">
        <f>IFERROR(Table9[[#This Row],[2019]]/Table9[[#This Row],[2018]]-1,"NA")</f>
        <v>NA</v>
      </c>
      <c r="G50" s="64" t="s">
        <v>100</v>
      </c>
      <c r="H50" s="146" t="str">
        <f>IFERROR((SUMIFS(TME[[#All],[Non-Claims: Performance Incentive Pmts]],TME[[#All],[Reporting Year]],2018,TME[[#All],[Insurance Category Code]],3))/ICC3_MemberMonths_2018,"NA")</f>
        <v>NA</v>
      </c>
      <c r="I50" s="146" t="str">
        <f>IFERROR((SUMIFS(TME[[#All],[Non-Claims: Performance Incentive Pmts]],TME[[#All],[Reporting Year]],2019,TME[[#All],[Insurance Category Code]],3))/ICC3_MemberMonths_2019,"NA")</f>
        <v>NA</v>
      </c>
      <c r="J50" s="143" t="str">
        <f>IFERROR(Table911[[#This Row],[2019]]/Table911[[#This Row],[2018]]-1,"NA")</f>
        <v>NA</v>
      </c>
      <c r="L50" s="64" t="s">
        <v>100</v>
      </c>
      <c r="M50" s="146" t="str">
        <f>IFERROR((SUMIFS(TME[[#All],[Non-Claims: Performance Incentive Pmts]],TME[[#All],[Reporting Year]],2018,TME[[#All],[Insurance Category Code]],4))/ICC4_MemberMonths_2018,"NA")</f>
        <v>NA</v>
      </c>
      <c r="N50" s="146" t="str">
        <f>IFERROR((SUMIFS(TME[[#All],[Non-Claims: Performance Incentive Pmts]],TME[[#All],[Reporting Year]],2019,TME[[#All],[Insurance Category Code]],4))/ICC4_MemberMonths_2019,"NA")</f>
        <v>NA</v>
      </c>
      <c r="O50" s="143" t="str">
        <f>IFERROR(Table91112[[#This Row],[2019]]/Table91112[[#This Row],[2018]]-1,"NA")</f>
        <v>NA</v>
      </c>
    </row>
    <row r="51" spans="2:15" x14ac:dyDescent="0.35">
      <c r="B51" s="64" t="s">
        <v>101</v>
      </c>
      <c r="C51" s="146" t="str">
        <f t="shared" si="0"/>
        <v>NA</v>
      </c>
      <c r="D51" s="146" t="str" cm="1">
        <f t="array" ref="D51">IFERROR((SUMPRODUCT(ICC3_MemberMonths_2019,I51)+SUMPRODUCT(ICC4_MemberMonths_2019,N51))/Commercial_MemberMonths_2019,"NA")</f>
        <v>NA</v>
      </c>
      <c r="E51" s="143" t="str">
        <f>IFERROR(Table9[[#This Row],[2019]]/Table9[[#This Row],[2018]]-1,"NA")</f>
        <v>NA</v>
      </c>
      <c r="G51" s="64" t="s">
        <v>101</v>
      </c>
      <c r="H51" s="146" t="str">
        <f>IFERROR((SUMIFS(TME[[#All],[Non-Claims: Pop Health and Practice Infrastructure Pmts]],TME[[#All],[Reporting Year]],2018,TME[[#All],[Insurance Category Code]],3))/ICC3_MemberMonths_2018,"NA")</f>
        <v>NA</v>
      </c>
      <c r="I51" s="146" t="str">
        <f>IFERROR((SUMIFS(TME[[#All],[Non-Claims: Pop Health and Practice Infrastructure Pmts]],TME[[#All],[Reporting Year]],2019,TME[[#All],[Insurance Category Code]],3))/ICC3_MemberMonths_2019,"NA")</f>
        <v>NA</v>
      </c>
      <c r="J51" s="143" t="str">
        <f>IFERROR(Table911[[#This Row],[2019]]/Table911[[#This Row],[2018]]-1,"NA")</f>
        <v>NA</v>
      </c>
      <c r="L51" s="64" t="s">
        <v>101</v>
      </c>
      <c r="M51" s="146" t="str">
        <f>IFERROR((SUMIFS(TME[[#All],[Non-Claims: Pop Health and Practice Infrastructure Pmts]],TME[[#All],[Reporting Year]],2018,TME[[#All],[Insurance Category Code]],4))/ICC4_MemberMonths_2018,"NA")</f>
        <v>NA</v>
      </c>
      <c r="N51" s="146" t="str">
        <f>IFERROR((SUMIFS(TME[[#All],[Non-Claims: Pop Health and Practice Infrastructure Pmts]],TME[[#All],[Reporting Year]],2019,TME[[#All],[Insurance Category Code]],4))/ICC4_MemberMonths_2019,"NA")</f>
        <v>NA</v>
      </c>
      <c r="O51" s="143" t="str">
        <f>IFERROR(Table91112[[#This Row],[2019]]/Table91112[[#This Row],[2018]]-1,"NA")</f>
        <v>NA</v>
      </c>
    </row>
    <row r="52" spans="2:15" x14ac:dyDescent="0.35">
      <c r="B52" s="64" t="s">
        <v>102</v>
      </c>
      <c r="C52" s="146" t="str">
        <f t="shared" si="0"/>
        <v>NA</v>
      </c>
      <c r="D52" s="146" t="str" cm="1">
        <f t="array" ref="D52">IFERROR((SUMPRODUCT(ICC3_MemberMonths_2019,I52)+SUMPRODUCT(ICC4_MemberMonths_2019,N52))/Commercial_MemberMonths_2019,"NA")</f>
        <v>NA</v>
      </c>
      <c r="E52" s="143" t="str">
        <f>IFERROR(Table9[[#This Row],[2019]]/Table9[[#This Row],[2018]]-1,"NA")</f>
        <v>NA</v>
      </c>
      <c r="G52" s="64" t="s">
        <v>102</v>
      </c>
      <c r="H52" s="146" t="str">
        <f>IFERROR((SUMIFS(TME[[#All],[Non-Claims: Provider Salaries]],TME[[#All],[Reporting Year]],2018,TME[[#All],[Insurance Category Code]],3))/ICC3_MemberMonths_2018,"NA")</f>
        <v>NA</v>
      </c>
      <c r="I52" s="146" t="str">
        <f>IFERROR((SUMIFS(TME[[#All],[Non-Claims: Provider Salaries]],TME[[#All],[Reporting Year]],2019,TME[[#All],[Insurance Category Code]],3))/ICC3_MemberMonths_2019,"NA")</f>
        <v>NA</v>
      </c>
      <c r="J52" s="143" t="str">
        <f>IFERROR(Table911[[#This Row],[2019]]/Table911[[#This Row],[2018]]-1,"NA")</f>
        <v>NA</v>
      </c>
      <c r="L52" s="64" t="s">
        <v>102</v>
      </c>
      <c r="M52" s="146" t="str">
        <f>IFERROR((SUMIFS(TME[[#All],[Non-Claims: Provider Salaries]],TME[[#All],[Reporting Year]],2018,TME[[#All],[Insurance Category Code]],4))/ICC4_MemberMonths_2018,"NA")</f>
        <v>NA</v>
      </c>
      <c r="N52" s="146" t="str">
        <f>IFERROR((SUMIFS(TME[[#All],[Non-Claims: Provider Salaries]],TME[[#All],[Reporting Year]],2019,TME[[#All],[Insurance Category Code]],4))/ICC4_MemberMonths_2019,"NA")</f>
        <v>NA</v>
      </c>
      <c r="O52" s="143" t="str">
        <f>IFERROR(Table91112[[#This Row],[2019]]/Table91112[[#This Row],[2018]]-1,"NA")</f>
        <v>NA</v>
      </c>
    </row>
    <row r="53" spans="2:15" x14ac:dyDescent="0.35">
      <c r="B53" s="64" t="s">
        <v>103</v>
      </c>
      <c r="C53" s="146" t="str">
        <f t="shared" si="0"/>
        <v>NA</v>
      </c>
      <c r="D53" s="146" t="str" cm="1">
        <f t="array" ref="D53">IFERROR((SUMPRODUCT(ICC3_MemberMonths_2019,I53)+SUMPRODUCT(ICC4_MemberMonths_2019,N53))/Commercial_MemberMonths_2019,"NA")</f>
        <v>NA</v>
      </c>
      <c r="E53" s="143" t="str">
        <f>IFERROR(Table9[[#This Row],[2019]]/Table9[[#This Row],[2018]]-1,"NA")</f>
        <v>NA</v>
      </c>
      <c r="G53" s="64" t="s">
        <v>103</v>
      </c>
      <c r="H53" s="146" t="str">
        <f>IFERROR((SUMIFS(TME[[#All],[Non-Claims: Recovery]],TME[[#All],[Reporting Year]],2018,TME[[#All],[Insurance Category Code]],3))/ICC3_MemberMonths_2018,"NA")</f>
        <v>NA</v>
      </c>
      <c r="I53" s="146" t="str">
        <f>IFERROR((SUMIFS(TME[[#All],[Non-Claims: Recovery]],TME[[#All],[Reporting Year]],2019,TME[[#All],[Insurance Category Code]],3))/ICC3_MemberMonths_2019,"NA")</f>
        <v>NA</v>
      </c>
      <c r="J53" s="143" t="str">
        <f>IFERROR(Table911[[#This Row],[2019]]/Table911[[#This Row],[2018]]-1,"NA")</f>
        <v>NA</v>
      </c>
      <c r="L53" s="64" t="s">
        <v>103</v>
      </c>
      <c r="M53" s="146" t="str">
        <f>IFERROR((SUMIFS(TME[[#All],[Non-Claims: Recovery]],TME[[#All],[Reporting Year]],2018,TME[[#All],[Insurance Category Code]],4))/ICC4_MemberMonths_2018,"NA")</f>
        <v>NA</v>
      </c>
      <c r="N53" s="146" t="str">
        <f>IFERROR((SUMIFS(TME[[#All],[Non-Claims: Recovery]],TME[[#All],[Reporting Year]],2019,TME[[#All],[Insurance Category Code]],4))/ICC4_MemberMonths_2019,"NA")</f>
        <v>NA</v>
      </c>
      <c r="O53" s="143" t="str">
        <f>IFERROR(Table91112[[#This Row],[2019]]/Table91112[[#This Row],[2018]]-1,"NA")</f>
        <v>NA</v>
      </c>
    </row>
    <row r="54" spans="2:15" x14ac:dyDescent="0.35">
      <c r="B54" s="64" t="s">
        <v>104</v>
      </c>
      <c r="C54" s="146" t="str">
        <f t="shared" si="0"/>
        <v>NA</v>
      </c>
      <c r="D54" s="146" t="str" cm="1">
        <f t="array" ref="D54">IFERROR((SUMPRODUCT(ICC3_MemberMonths_2019,I54)+SUMPRODUCT(ICC4_MemberMonths_2019,N54))/Commercial_MemberMonths_2019,"NA")</f>
        <v>NA</v>
      </c>
      <c r="E54" s="143" t="str">
        <f>IFERROR(Table9[[#This Row],[2019]]/Table9[[#This Row],[2018]]-1,"NA")</f>
        <v>NA</v>
      </c>
      <c r="G54" s="64" t="s">
        <v>104</v>
      </c>
      <c r="H54" s="146" t="str">
        <f>IFERROR((SUMIFS(TME[[#All],[Non-Claims: Other]],TME[[#All],[Reporting Year]],2018,TME[[#All],[Insurance Category Code]],3))/ICC3_MemberMonths_2018,"NA")</f>
        <v>NA</v>
      </c>
      <c r="I54" s="146" t="str">
        <f>IFERROR((SUMIFS(TME[[#All],[Non-Claims: Other]],TME[[#All],[Reporting Year]],2019,TME[[#All],[Insurance Category Code]],3))/ICC3_MemberMonths_2019,"NA")</f>
        <v>NA</v>
      </c>
      <c r="J54" s="143" t="str">
        <f>IFERROR(Table911[[#This Row],[2019]]/Table911[[#This Row],[2018]]-1,"NA")</f>
        <v>NA</v>
      </c>
      <c r="L54" s="64" t="s">
        <v>104</v>
      </c>
      <c r="M54" s="146" t="str">
        <f>IFERROR((SUMIFS(TME[[#All],[Non-Claims: Other]],TME[[#All],[Reporting Year]],2018,TME[[#All],[Insurance Category Code]],4))/ICC4_MemberMonths_2018,"NA")</f>
        <v>NA</v>
      </c>
      <c r="N54" s="146" t="str">
        <f>IFERROR((SUMIFS(TME[[#All],[Non-Claims: Other]],TME[[#All],[Reporting Year]],2019,TME[[#All],[Insurance Category Code]],4))/ICC4_MemberMonths_2019,"NA")</f>
        <v>NA</v>
      </c>
      <c r="O54" s="143" t="str">
        <f>IFERROR(Table91112[[#This Row],[2019]]/Table91112[[#This Row],[2018]]-1,"NA")</f>
        <v>NA</v>
      </c>
    </row>
    <row r="55" spans="2:15" x14ac:dyDescent="0.35">
      <c r="B55" s="64" t="s">
        <v>266</v>
      </c>
      <c r="C55" s="146" t="str">
        <f t="shared" ref="C55" si="1">IFERROR((SUMPRODUCT(ICC3_MemberMonths_2018,H55)+SUMPRODUCT(ICC4_MemberMonths_2018,M55))/Commercial_MemberMonths_2018,"NA")</f>
        <v>NA</v>
      </c>
      <c r="D55" s="146" t="str" cm="1">
        <f t="array" ref="D55">IFERROR((SUMPRODUCT(ICC3_MemberMonths_2019,I55)+SUMPRODUCT(ICC4_MemberMonths_2019,N55))/Commercial_MemberMonths_2019,"NA")</f>
        <v>NA</v>
      </c>
      <c r="E55" s="143" t="str">
        <f>IFERROR(Table9[[#This Row],[2019]]/Table9[[#This Row],[2018]]-1,"NA")</f>
        <v>NA</v>
      </c>
      <c r="G55" s="64" t="s">
        <v>266</v>
      </c>
      <c r="H55" s="146" t="str">
        <f>IFERROR((SUMIFS(TME[[#All],[Non-Claims: Total Primary Care Non-Claims-Based Payments]],TME[[#All],[Reporting Year]],2018,TME[[#All],[Insurance Category Code]],3))/ICC3_MemberMonths_2018,"NA")</f>
        <v>NA</v>
      </c>
      <c r="I55" s="146" t="str">
        <f>IFERROR((SUMIFS(TME[[#All],[Non-Claims: Total Primary Care Non-Claims-Based Payments]],TME[[#All],[Reporting Year]],2019,TME[[#All],[Insurance Category Code]],3))/ICC3_MemberMonths_2019,"NA")</f>
        <v>NA</v>
      </c>
      <c r="J55" s="143" t="str">
        <f>IFERROR(Table911[[#This Row],[2019]]/Table911[[#This Row],[2018]]-1,"NA")</f>
        <v>NA</v>
      </c>
      <c r="L55" s="64" t="s">
        <v>266</v>
      </c>
      <c r="M55" s="146" t="str">
        <f>IFERROR((SUMIFS(TME[[#All],[Non-Claims: Total Primary Care Non-Claims-Based Payments]],TME[[#All],[Reporting Year]],2018,TME[[#All],[Insurance Category Code]],4))/ICC4_MemberMonths_2018,"NA")</f>
        <v>NA</v>
      </c>
      <c r="N55" s="146" t="str">
        <f>IFERROR((SUMIFS(TME[[#All],[Non-Claims: Total Primary Care Non-Claims-Based Payments]],TME[[#All],[Reporting Year]],2019,TME[[#All],[Insurance Category Code]],4))/ICC4_MemberMonths_2019,"NA")</f>
        <v>NA</v>
      </c>
      <c r="O55" s="143" t="str">
        <f>IFERROR(Table91112[[#This Row],[2019]]/Table91112[[#This Row],[2018]]-1,"NA")</f>
        <v>NA</v>
      </c>
    </row>
    <row r="56" spans="2:15" x14ac:dyDescent="0.35">
      <c r="B56" s="83" t="s">
        <v>232</v>
      </c>
      <c r="C56" s="147" t="str">
        <f>IFERROR((SUMPRODUCT(ICC3_MemberMonths_2018,H56)+SUMPRODUCT(ICC4_MemberMonths_2018,M56))/Commercial_MemberMonths_2018,"NA")</f>
        <v>NA</v>
      </c>
      <c r="D56" s="147" t="str" cm="1">
        <f t="array" ref="D56">IFERROR((SUMPRODUCT(ICC3_MemberMonths_2019,I56)+SUMPRODUCT(ICC4_MemberMonths_2019,N56))/Commercial_MemberMonths_2019,"NA")</f>
        <v>NA</v>
      </c>
      <c r="E56" s="143" t="str">
        <f>IFERROR(Table9[[#This Row],[2019]]/Table9[[#This Row],[2018]]-1,"NA")</f>
        <v>NA</v>
      </c>
      <c r="G56" s="83" t="s">
        <v>232</v>
      </c>
      <c r="H56" s="147" t="str">
        <f>IFERROR((SUMIFS(TME[[#All],[Total Non-Claims Spending]],TME[[#All],[Reporting Year]],2018,TME[[#All],[Insurance Category Code]],3))/ICC3_MemberMonths_2018,"NA")</f>
        <v>NA</v>
      </c>
      <c r="I56" s="147" t="str">
        <f>IFERROR((SUMIFS(TME[[#All],[Total Non-Claims Spending]],TME[[#All],[Reporting Year]],2019,TME[[#All],[Insurance Category Code]],3))/ICC3_MemberMonths_2019,"NA")</f>
        <v>NA</v>
      </c>
      <c r="J56" s="143" t="str">
        <f>IFERROR(Table911[[#This Row],[2019]]/Table911[[#This Row],[2018]]-1,"NA")</f>
        <v>NA</v>
      </c>
      <c r="L56" s="83" t="s">
        <v>232</v>
      </c>
      <c r="M56" s="147" t="str">
        <f>IFERROR((SUMIFS(TME[[#All],[Total Non-Claims Spending]],TME[[#All],[Reporting Year]],2018,TME[[#All],[Insurance Category Code]],4))/ICC4_MemberMonths_2018,"NA")</f>
        <v>NA</v>
      </c>
      <c r="N56" s="147" t="str">
        <f>IFERROR((SUMIFS(TME[[#All],[Total Non-Claims Spending]],TME[[#All],[Reporting Year]],2019,TME[[#All],[Insurance Category Code]],4))/ICC4_MemberMonths_2019,"NA")</f>
        <v>NA</v>
      </c>
      <c r="O56" s="143" t="str">
        <f>IFERROR(Table91112[[#This Row],[2019]]/Table91112[[#This Row],[2018]]-1,"NA")</f>
        <v>NA</v>
      </c>
    </row>
    <row r="57" spans="2:15" x14ac:dyDescent="0.35">
      <c r="B57" s="84" t="s">
        <v>233</v>
      </c>
      <c r="C57" s="148" t="str">
        <f>IFERROR((SUMPRODUCT(ICC3_MemberMonths_2018,H57)+SUMPRODUCT(ICC4_MemberMonths_2018,M57))/Commercial_MemberMonths_2018,"NA")</f>
        <v>NA</v>
      </c>
      <c r="D57" s="148" t="str" cm="1">
        <f t="array" ref="D57">IFERROR((SUMPRODUCT(ICC3_MemberMonths_2019,I57)+SUMPRODUCT(ICC4_MemberMonths_2019,N57))/Commercial_MemberMonths_2019,"NA")</f>
        <v>NA</v>
      </c>
      <c r="E57" s="145" t="str">
        <f>IFERROR(Table9[[#This Row],[2019]]/Table9[[#This Row],[2018]]-1,"NA")</f>
        <v>NA</v>
      </c>
      <c r="G57" s="84" t="s">
        <v>233</v>
      </c>
      <c r="H57" s="148" t="str">
        <f>IFERROR((SUMIFS(TME[[#All],[Total Non-Truncated Claims and Non-Claims Spending]],TME[[#All],[Reporting Year]],2018,TME[[#All],[Insurance Category Code]],3))/ICC3_MemberMonths_2018,"NA")</f>
        <v>NA</v>
      </c>
      <c r="I57" s="148" t="str">
        <f>IFERROR((SUMIFS(TME[[#All],[Total Non-Truncated Claims and Non-Claims Spending]],TME[[#All],[Reporting Year]],2019,TME[[#All],[Insurance Category Code]],3))/ICC3_MemberMonths_2019,"NA")</f>
        <v>NA</v>
      </c>
      <c r="J57" s="145" t="str">
        <f>IFERROR(Table911[[#This Row],[2019]]/Table911[[#This Row],[2018]]-1,"NA")</f>
        <v>NA</v>
      </c>
      <c r="L57" s="84" t="s">
        <v>233</v>
      </c>
      <c r="M57" s="148" t="str">
        <f>IFERROR((SUMIFS(TME[[#All],[Total Non-Truncated Claims and Non-Claims Spending]],TME[[#All],[Reporting Year]],2018,TME[[#All],[Insurance Category Code]],4))/ICC4_MemberMonths_2018,"NA")</f>
        <v>NA</v>
      </c>
      <c r="N57" s="148" t="str">
        <f>IFERROR((SUMIFS(TME[[#All],[Total Non-Truncated Claims and Non-Claims Spending]],TME[[#All],[Reporting Year]],2019,TME[[#All],[Insurance Category Code]],4))/ICC4_MemberMonths_2019,"NA")</f>
        <v>NA</v>
      </c>
      <c r="O57" s="145" t="str">
        <f>IFERROR(Table91112[[#This Row],[2019]]/Table91112[[#This Row],[2018]]-1,"NA")</f>
        <v>NA</v>
      </c>
    </row>
    <row r="58" spans="2:15" x14ac:dyDescent="0.35">
      <c r="B58" s="85" t="s">
        <v>234</v>
      </c>
      <c r="C58" s="148" t="str">
        <f>IFERROR((SUMPRODUCT(ICC3_MemberMonths_2018,H58)+SUMPRODUCT(ICC4_MemberMonths_2018,M58))/Commercial_MemberMonths_2018,"NA")</f>
        <v>NA</v>
      </c>
      <c r="D58" s="148" t="str" cm="1">
        <f t="array" ref="D58">IFERROR((SUMPRODUCT(ICC3_MemberMonths_2019,I58)+SUMPRODUCT(ICC4_MemberMonths_2019,N58))/Commercial_MemberMonths_2019,"NA")</f>
        <v>NA</v>
      </c>
      <c r="E58" s="145" t="str">
        <f>IFERROR(Table9[[#This Row],[2019]]/Table9[[#This Row],[2018]]-1,"NA")</f>
        <v>NA</v>
      </c>
      <c r="G58" s="85" t="s">
        <v>234</v>
      </c>
      <c r="H58" s="148" t="str">
        <f>IFERROR((SUMIFS(TME[[#All],[Truncated Total Expenses (Total Truncated Claims Expenses + Non-Claims Expenses)]],TME[[#All],[Reporting Year]],2018,TME[[#All],[Insurance Category Code]],3))/ICC3_MemberMonths_2018,"NA")</f>
        <v>NA</v>
      </c>
      <c r="I58" s="148" t="str">
        <f>IFERROR((SUMIFS(TME[[#All],[Truncated Total Expenses (Total Truncated Claims Expenses + Non-Claims Expenses)]],TME[[#All],[Reporting Year]],2019,TME[[#All],[Insurance Category Code]],3))/ICC3_MemberMonths_2019,"NA")</f>
        <v>NA</v>
      </c>
      <c r="J58" s="145" t="str">
        <f>IFERROR(Table911[[#This Row],[2019]]/Table911[[#This Row],[2018]]-1,"NA")</f>
        <v>NA</v>
      </c>
      <c r="L58" s="85" t="s">
        <v>234</v>
      </c>
      <c r="M58" s="148" t="str">
        <f>IFERROR((SUMIFS(TME[[#All],[Truncated Total Expenses (Total Truncated Claims Expenses + Non-Claims Expenses)]],TME[[#All],[Reporting Year]],2018,TME[[#All],[Insurance Category Code]],4))/ICC4_MemberMonths_2018,"NA")</f>
        <v>NA</v>
      </c>
      <c r="N58" s="148" t="str">
        <f>IFERROR((SUMIFS(TME[[#All],[Truncated Total Expenses (Total Truncated Claims Expenses + Non-Claims Expenses)]],TME[[#All],[Reporting Year]],2019,TME[[#All],[Insurance Category Code]],4))/ICC4_MemberMonths_2019,"NA")</f>
        <v>NA</v>
      </c>
      <c r="O58" s="145" t="str">
        <f>IFERROR(Table91112[[#This Row],[2019]]/Table91112[[#This Row],[2018]]-1,"NA")</f>
        <v>NA</v>
      </c>
    </row>
    <row r="60" spans="2:15" x14ac:dyDescent="0.35">
      <c r="B60" s="71" t="s">
        <v>235</v>
      </c>
      <c r="G60" s="71" t="s">
        <v>236</v>
      </c>
      <c r="L60" s="71" t="s">
        <v>237</v>
      </c>
    </row>
    <row r="61" spans="2:15" x14ac:dyDescent="0.35">
      <c r="B61" s="70" t="s">
        <v>307</v>
      </c>
      <c r="G61" s="70" t="s">
        <v>307</v>
      </c>
      <c r="L61" s="70" t="s">
        <v>307</v>
      </c>
    </row>
    <row r="62" spans="2:15" x14ac:dyDescent="0.35">
      <c r="B62" s="69" t="s">
        <v>228</v>
      </c>
      <c r="C62" s="149" t="s">
        <v>211</v>
      </c>
      <c r="D62" s="149" t="s">
        <v>212</v>
      </c>
      <c r="E62" s="150" t="s">
        <v>213</v>
      </c>
      <c r="G62" s="69" t="s">
        <v>228</v>
      </c>
      <c r="H62" s="149" t="s">
        <v>211</v>
      </c>
      <c r="I62" s="149" t="s">
        <v>212</v>
      </c>
      <c r="J62" s="150" t="s">
        <v>213</v>
      </c>
      <c r="L62" s="69" t="s">
        <v>228</v>
      </c>
      <c r="M62" s="149" t="s">
        <v>211</v>
      </c>
      <c r="N62" s="149" t="s">
        <v>212</v>
      </c>
      <c r="O62" s="150" t="s">
        <v>213</v>
      </c>
    </row>
    <row r="63" spans="2:15" x14ac:dyDescent="0.35">
      <c r="B63" s="64" t="s">
        <v>90</v>
      </c>
      <c r="C63" s="141">
        <f>SUM(H63,M63)</f>
        <v>0</v>
      </c>
      <c r="D63" s="141">
        <f>SUM(I63,N63)</f>
        <v>0</v>
      </c>
      <c r="E63" s="143" t="str">
        <f>IFERROR(Table913[[#This Row],[2019]]/Table913[[#This Row],[2018]]-1,"NA")</f>
        <v>NA</v>
      </c>
      <c r="G63" s="64" t="s">
        <v>90</v>
      </c>
      <c r="H63" s="141">
        <f>SUMIFS(TME[[#All],[Member Months]],TME[[#All],[Reporting Year]],2018,TME[[#All],[Insurance Category Code]],1)</f>
        <v>0</v>
      </c>
      <c r="I63" s="141">
        <f>SUMIFS(TME[[#All],[Member Months]],TME[[#All],[Reporting Year]],2019,TME[[#All],[Insurance Category Code]],1)</f>
        <v>0</v>
      </c>
      <c r="J63" s="143" t="str">
        <f>IFERROR(Table91114[[#This Row],[2019]]/Table91114[[#This Row],[2018]]-1,"NA")</f>
        <v>NA</v>
      </c>
      <c r="L63" s="64" t="s">
        <v>90</v>
      </c>
      <c r="M63" s="141">
        <f>SUMIFS(TME[[#All],[Member Months]],TME[[#All],[Reporting Year]],2018,TME[[#All],[Insurance Category Code]],5)</f>
        <v>0</v>
      </c>
      <c r="N63" s="141">
        <f>SUMIFS(TME[[#All],[Member Months]],TME[[#All],[Reporting Year]],2019,TME[[#All],[Insurance Category Code]],5)</f>
        <v>0</v>
      </c>
      <c r="O63" s="143" t="str">
        <f>IFERROR(Table9111215[[#This Row],[2019]]/Table9111215[[#This Row],[2018]]-1,"NA")</f>
        <v>NA</v>
      </c>
    </row>
    <row r="64" spans="2:15" x14ac:dyDescent="0.35">
      <c r="B64" s="64" t="s">
        <v>91</v>
      </c>
      <c r="C64" s="146" t="str">
        <f t="shared" ref="C64:C85" si="2">IFERROR((SUMPRODUCT(ICC1_MemberMonths_2018,H64)+SUMPRODUCT(ICC5_MemberMonths_2018,M64))/Medicare_MemberMonths_2018,"NA")</f>
        <v>NA</v>
      </c>
      <c r="D64" s="146" t="str">
        <f t="shared" ref="D64:D85" si="3">IFERROR((SUMPRODUCT(ICC1_MemberMonths_2019,I64)+SUMPRODUCT(ICC5_MemberMonths_2019,N64))/Medicare_MemberMonths_2019,"NA")</f>
        <v>NA</v>
      </c>
      <c r="E64" s="143" t="str">
        <f>IFERROR(Table913[[#This Row],[2019]]/Table913[[#This Row],[2018]]-1,"NA")</f>
        <v>NA</v>
      </c>
      <c r="G64" s="64" t="s">
        <v>91</v>
      </c>
      <c r="H64" s="146" t="str">
        <f>IFERROR((SUMIFS(TME[[#All],[Claims: Hospital Inpatient]],TME[[#All],[Reporting Year]],2018,TME[[#All],[Insurance Category Code]],1))/ICC1_MemberMonths_2018,"NA")</f>
        <v>NA</v>
      </c>
      <c r="I64" s="146" t="str">
        <f>IFERROR((SUMIFS(TME[[#All],[Claims: Hospital Inpatient]],TME[[#All],[Reporting Year]],2019,TME[[#All],[Insurance Category Code]],1))/ICC1_MemberMonths_2019,"NA")</f>
        <v>NA</v>
      </c>
      <c r="J64" s="143" t="str">
        <f>IFERROR(Table91114[[#This Row],[2019]]/Table91114[[#This Row],[2018]]-1,"NA")</f>
        <v>NA</v>
      </c>
      <c r="L64" s="64" t="s">
        <v>91</v>
      </c>
      <c r="M64" s="146" t="str">
        <f>IFERROR((SUMIFS(TME[[#All],[Claims: Hospital Inpatient]],TME[[#All],[Reporting Year]],2018,TME[[#All],[Insurance Category Code]],5))/ICC5_MemberMonths_2018,"NA")</f>
        <v>NA</v>
      </c>
      <c r="N64" s="146" t="str">
        <f>IFERROR((SUMIFS(TME[[#All],[Claims: Hospital Inpatient]],TME[[#All],[Reporting Year]],2019,TME[[#All],[Insurance Category Code]],5))/ICC5_MemberMonths_2019,"NA")</f>
        <v>NA</v>
      </c>
      <c r="O64" s="143" t="str">
        <f>IFERROR(Table9111215[[#This Row],[2019]]/Table9111215[[#This Row],[2018]]-1,"NA")</f>
        <v>NA</v>
      </c>
    </row>
    <row r="65" spans="2:15" x14ac:dyDescent="0.35">
      <c r="B65" s="64" t="s">
        <v>92</v>
      </c>
      <c r="C65" s="146" t="str">
        <f t="shared" si="2"/>
        <v>NA</v>
      </c>
      <c r="D65" s="146" t="str">
        <f t="shared" si="3"/>
        <v>NA</v>
      </c>
      <c r="E65" s="143" t="str">
        <f>IFERROR(Table913[[#This Row],[2019]]/Table913[[#This Row],[2018]]-1,"NA")</f>
        <v>NA</v>
      </c>
      <c r="F65" s="37"/>
      <c r="G65" s="64" t="s">
        <v>92</v>
      </c>
      <c r="H65" s="146" t="str">
        <f>IFERROR((SUMIFS(TME[[#All],[Claims: Hospital Outpatient]],TME[[#All],[Reporting Year]],2018,TME[[#All],[Insurance Category Code]],1))/ICC1_MemberMonths_2018,"NA")</f>
        <v>NA</v>
      </c>
      <c r="I65" s="146" t="str">
        <f>IFERROR((SUMIFS(TME[[#All],[Claims: Hospital Outpatient]],TME[[#All],[Reporting Year]],2019,TME[[#All],[Insurance Category Code]],1))/ICC1_MemberMonths_2019,"NA")</f>
        <v>NA</v>
      </c>
      <c r="J65" s="143" t="str">
        <f>IFERROR(Table91114[[#This Row],[2019]]/Table91114[[#This Row],[2018]]-1,"NA")</f>
        <v>NA</v>
      </c>
      <c r="L65" s="64" t="s">
        <v>92</v>
      </c>
      <c r="M65" s="146" t="str">
        <f>IFERROR((SUMIFS(TME[[#All],[Claims: Hospital Outpatient]],TME[[#All],[Reporting Year]],2018,TME[[#All],[Insurance Category Code]],5))/ICC5_MemberMonths_2018,"NA")</f>
        <v>NA</v>
      </c>
      <c r="N65" s="146" t="str">
        <f>IFERROR((SUMIFS(TME[[#All],[Claims: Hospital Outpatient]],TME[[#All],[Reporting Year]],2019,TME[[#All],[Insurance Category Code]],5))/ICC5_MemberMonths_2019,"NA")</f>
        <v>NA</v>
      </c>
      <c r="O65" s="143" t="str">
        <f>IFERROR(Table9111215[[#This Row],[2019]]/Table9111215[[#This Row],[2018]]-1,"NA")</f>
        <v>NA</v>
      </c>
    </row>
    <row r="66" spans="2:15" x14ac:dyDescent="0.35">
      <c r="B66" s="64" t="s">
        <v>93</v>
      </c>
      <c r="C66" s="146" t="str">
        <f t="shared" si="2"/>
        <v>NA</v>
      </c>
      <c r="D66" s="146" t="str">
        <f t="shared" si="3"/>
        <v>NA</v>
      </c>
      <c r="E66" s="143" t="str">
        <f>IFERROR(Table913[[#This Row],[2019]]/Table913[[#This Row],[2018]]-1,"NA")</f>
        <v>NA</v>
      </c>
      <c r="G66" s="64" t="s">
        <v>93</v>
      </c>
      <c r="H66" s="146" t="str">
        <f>IFERROR((SUMIFS(TME[[#All],[Claims: Professional, Primary Care Providers]],TME[[#All],[Reporting Year]],2018,TME[[#All],[Insurance Category Code]],1))/ICC1_MemberMonths_2018,"NA")</f>
        <v>NA</v>
      </c>
      <c r="I66" s="146" t="str">
        <f>IFERROR((SUMIFS(TME[[#All],[Claims: Professional, Primary Care Providers]],TME[[#All],[Reporting Year]],2019,TME[[#All],[Insurance Category Code]],1))/ICC1_MemberMonths_2019,"NA")</f>
        <v>NA</v>
      </c>
      <c r="J66" s="143" t="str">
        <f>IFERROR(Table91114[[#This Row],[2019]]/Table91114[[#This Row],[2018]]-1,"NA")</f>
        <v>NA</v>
      </c>
      <c r="L66" s="64" t="s">
        <v>93</v>
      </c>
      <c r="M66" s="146" t="str">
        <f>IFERROR((SUMIFS(TME[[#All],[Claims: Professional, Primary Care Providers]],TME[[#All],[Reporting Year]],2018,TME[[#All],[Insurance Category Code]],5))/ICC5_MemberMonths_2018,"NA")</f>
        <v>NA</v>
      </c>
      <c r="N66" s="146" t="str">
        <f>IFERROR((SUMIFS(TME[[#All],[Claims: Professional, Primary Care Providers]],TME[[#All],[Reporting Year]],2019,TME[[#All],[Insurance Category Code]],5))/ICC5_MemberMonths_2019,"NA")</f>
        <v>NA</v>
      </c>
      <c r="O66" s="143" t="str">
        <f>IFERROR(Table9111215[[#This Row],[2019]]/Table9111215[[#This Row],[2018]]-1,"NA")</f>
        <v>NA</v>
      </c>
    </row>
    <row r="67" spans="2:15" x14ac:dyDescent="0.35">
      <c r="B67" s="64" t="s">
        <v>94</v>
      </c>
      <c r="C67" s="146" t="str">
        <f t="shared" si="2"/>
        <v>NA</v>
      </c>
      <c r="D67" s="146" t="str">
        <f t="shared" si="3"/>
        <v>NA</v>
      </c>
      <c r="E67" s="143" t="str">
        <f>IFERROR(Table913[[#This Row],[2019]]/Table913[[#This Row],[2018]]-1,"NA")</f>
        <v>NA</v>
      </c>
      <c r="G67" s="64" t="s">
        <v>94</v>
      </c>
      <c r="H67" s="146" t="str">
        <f>IFERROR((SUMIFS(TME[[#All],[Claims: Professional, Specialty Providers]],TME[[#All],[Reporting Year]],2018,TME[[#All],[Insurance Category Code]],1))/ICC1_MemberMonths_2018,"NA")</f>
        <v>NA</v>
      </c>
      <c r="I67" s="146" t="str">
        <f>IFERROR((SUMIFS(TME[[#All],[Claims: Professional, Specialty Providers]],TME[[#All],[Reporting Year]],2019,TME[[#All],[Insurance Category Code]],1))/ICC1_MemberMonths_2019,"NA")</f>
        <v>NA</v>
      </c>
      <c r="J67" s="143" t="str">
        <f>IFERROR(Table91114[[#This Row],[2019]]/Table91114[[#This Row],[2018]]-1,"NA")</f>
        <v>NA</v>
      </c>
      <c r="L67" s="64" t="s">
        <v>94</v>
      </c>
      <c r="M67" s="146" t="str">
        <f>IFERROR((SUMIFS(TME[[#All],[Claims: Professional, Specialty Providers]],TME[[#All],[Reporting Year]],2018,TME[[#All],[Insurance Category Code]],5))/ICC5_MemberMonths_2018,"NA")</f>
        <v>NA</v>
      </c>
      <c r="N67" s="146" t="str">
        <f>IFERROR((SUMIFS(TME[[#All],[Claims: Professional, Specialty Providers]],TME[[#All],[Reporting Year]],2019,TME[[#All],[Insurance Category Code]],5))/ICC5_MemberMonths_2019,"NA")</f>
        <v>NA</v>
      </c>
      <c r="O67" s="143" t="str">
        <f>IFERROR(Table9111215[[#This Row],[2019]]/Table9111215[[#This Row],[2018]]-1,"NA")</f>
        <v>NA</v>
      </c>
    </row>
    <row r="68" spans="2:15" x14ac:dyDescent="0.35">
      <c r="B68" s="64" t="s">
        <v>95</v>
      </c>
      <c r="C68" s="146" t="str">
        <f t="shared" si="2"/>
        <v>NA</v>
      </c>
      <c r="D68" s="146" t="str">
        <f t="shared" si="3"/>
        <v>NA</v>
      </c>
      <c r="E68" s="143" t="str">
        <f>IFERROR(Table913[[#This Row],[2019]]/Table913[[#This Row],[2018]]-1,"NA")</f>
        <v>NA</v>
      </c>
      <c r="G68" s="64" t="s">
        <v>95</v>
      </c>
      <c r="H68" s="146" t="str">
        <f>IFERROR((SUMIFS(TME[[#All],[Claims: Professional, Other Providers]],TME[[#All],[Reporting Year]],2018,TME[[#All],[Insurance Category Code]],1))/ICC1_MemberMonths_2018,"NA")</f>
        <v>NA</v>
      </c>
      <c r="I68" s="146" t="str">
        <f>IFERROR((SUMIFS(TME[[#All],[Claims: Professional, Other Providers]],TME[[#All],[Reporting Year]],2019,TME[[#All],[Insurance Category Code]],1))/ICC1_MemberMonths_2019,"NA")</f>
        <v>NA</v>
      </c>
      <c r="J68" s="143" t="str">
        <f>IFERROR(Table91114[[#This Row],[2019]]/Table91114[[#This Row],[2018]]-1,"NA")</f>
        <v>NA</v>
      </c>
      <c r="L68" s="64" t="s">
        <v>95</v>
      </c>
      <c r="M68" s="146" t="str">
        <f>IFERROR((SUMIFS(TME[[#All],[Claims: Professional, Other Providers]],TME[[#All],[Reporting Year]],2018,TME[[#All],[Insurance Category Code]],5))/ICC5_MemberMonths_2018,"NA")</f>
        <v>NA</v>
      </c>
      <c r="N68" s="146" t="str">
        <f>IFERROR((SUMIFS(TME[[#All],[Claims: Professional, Other Providers]],TME[[#All],[Reporting Year]],2019,TME[[#All],[Insurance Category Code]],5))/ICC5_MemberMonths_2019,"NA")</f>
        <v>NA</v>
      </c>
      <c r="O68" s="143" t="str">
        <f>IFERROR(Table9111215[[#This Row],[2019]]/Table9111215[[#This Row],[2018]]-1,"NA")</f>
        <v>NA</v>
      </c>
    </row>
    <row r="69" spans="2:15" x14ac:dyDescent="0.35">
      <c r="B69" s="64" t="s">
        <v>96</v>
      </c>
      <c r="C69" s="146" t="str">
        <f t="shared" si="2"/>
        <v>NA</v>
      </c>
      <c r="D69" s="146" t="str">
        <f t="shared" si="3"/>
        <v>NA</v>
      </c>
      <c r="E69" s="143" t="str">
        <f>IFERROR(Table913[[#This Row],[2019]]/Table913[[#This Row],[2018]]-1,"NA")</f>
        <v>NA</v>
      </c>
      <c r="G69" s="64" t="s">
        <v>96</v>
      </c>
      <c r="H69" s="146" t="str">
        <f>IFERROR((SUMIFS(TME[[#All],[Claims: Long-Term Care]],TME[[#All],[Reporting Year]],2018,TME[[#All],[Insurance Category Code]],1))/ICC1_MemberMonths_2018,"NA")</f>
        <v>NA</v>
      </c>
      <c r="I69" s="146" t="str">
        <f>IFERROR((SUMIFS(TME[[#All],[Claims: Long-Term Care]],TME[[#All],[Reporting Year]],2019,TME[[#All],[Insurance Category Code]],1))/ICC1_MemberMonths_2019,"NA")</f>
        <v>NA</v>
      </c>
      <c r="J69" s="143" t="str">
        <f>IFERROR(Table91114[[#This Row],[2019]]/Table91114[[#This Row],[2018]]-1,"NA")</f>
        <v>NA</v>
      </c>
      <c r="L69" s="64" t="s">
        <v>96</v>
      </c>
      <c r="M69" s="146" t="str">
        <f>IFERROR((SUMIFS(TME[[#All],[Claims: Long-Term Care]],TME[[#All],[Reporting Year]],2018,TME[[#All],[Insurance Category Code]],5))/ICC5_MemberMonths_2018,"NA")</f>
        <v>NA</v>
      </c>
      <c r="N69" s="146" t="str">
        <f>IFERROR((SUMIFS(TME[[#All],[Claims: Long-Term Care]],TME[[#All],[Reporting Year]],2019,TME[[#All],[Insurance Category Code]],5))/ICC5_MemberMonths_2019,"NA")</f>
        <v>NA</v>
      </c>
      <c r="O69" s="143" t="str">
        <f>IFERROR(Table9111215[[#This Row],[2019]]/Table9111215[[#This Row],[2018]]-1,"NA")</f>
        <v>NA</v>
      </c>
    </row>
    <row r="70" spans="2:15" x14ac:dyDescent="0.35">
      <c r="B70" s="64" t="s">
        <v>229</v>
      </c>
      <c r="C70" s="146" t="str">
        <f t="shared" si="2"/>
        <v>NA</v>
      </c>
      <c r="D70" s="146" t="str">
        <f t="shared" si="3"/>
        <v>NA</v>
      </c>
      <c r="E70" s="143" t="str">
        <f>IFERROR(Table913[[#This Row],[2019]]/Table913[[#This Row],[2018]]-1,"NA")</f>
        <v>NA</v>
      </c>
      <c r="G70" s="64" t="s">
        <v>229</v>
      </c>
      <c r="H70" s="146" t="str">
        <f>IFERROR((SUMIFS(TME[[#All],[Claims: Retail Pharmacy]],TME[[#All],[Reporting Year]],2018,TME[[#All],[Insurance Category Code]],1))/ICC1_MemberMonths_2018,"NA")</f>
        <v>NA</v>
      </c>
      <c r="I70" s="146" t="str">
        <f>IFERROR((SUMIFS(TME[[#All],[Claims: Retail Pharmacy]],TME[[#All],[Reporting Year]],2019,TME[[#All],[Insurance Category Code]],1))/ICC1_MemberMonths_2019,"NA")</f>
        <v>NA</v>
      </c>
      <c r="J70" s="143" t="str">
        <f>IFERROR(Table91114[[#This Row],[2019]]/Table91114[[#This Row],[2018]]-1,"NA")</f>
        <v>NA</v>
      </c>
      <c r="L70" s="64" t="s">
        <v>229</v>
      </c>
      <c r="M70" s="146" t="str">
        <f>IFERROR((SUMIFS(TME[[#All],[Claims: Retail Pharmacy]],TME[[#All],[Reporting Year]],2018,TME[[#All],[Insurance Category Code]],5))/ICC5_MemberMonths_2018,"NA")</f>
        <v>NA</v>
      </c>
      <c r="N70" s="146" t="str">
        <f>IFERROR((SUMIFS(TME[[#All],[Claims: Retail Pharmacy]],TME[[#All],[Reporting Year]],2019,TME[[#All],[Insurance Category Code]],5))/ICC5_MemberMonths_2019,"NA")</f>
        <v>NA</v>
      </c>
      <c r="O70" s="143" t="str">
        <f>IFERROR(Table9111215[[#This Row],[2019]]/Table9111215[[#This Row],[2018]]-1,"NA")</f>
        <v>NA</v>
      </c>
    </row>
    <row r="71" spans="2:15" x14ac:dyDescent="0.35">
      <c r="B71" s="82" t="s">
        <v>230</v>
      </c>
      <c r="C71" s="146" t="str">
        <f t="shared" si="2"/>
        <v>NA</v>
      </c>
      <c r="D71" s="146" t="str">
        <f t="shared" si="3"/>
        <v>NA</v>
      </c>
      <c r="E71" s="143" t="str">
        <f>IFERROR(Table913[[#This Row],[2019]]/Table913[[#This Row],[2018]]-1,"NA")</f>
        <v>NA</v>
      </c>
      <c r="G71" s="82" t="s">
        <v>230</v>
      </c>
      <c r="H71" s="146" t="str">
        <f>IFERROR((SUMIFS(TME[[#All],[Claims: Retail Pharmacy]],TME[[#All],[Reporting Year]],2018,TME[[#All],[Insurance Category Code]],1))-ABS(SUMIFS(RX_REBATE[[#All],[Total Pharmacy Rebate Amount]],RX_REBATE[[#All],[Reporting Year]],2018,RX_REBATE[[#All],[Insurance Category Code]],1))/ICC1_MemberMonths_2018,"NA")</f>
        <v>NA</v>
      </c>
      <c r="I71" s="146" t="str">
        <f>IFERROR((SUMIFS(TME[[#All],[Claims: Retail Pharmacy]],TME[[#All],[Reporting Year]],2019,TME[[#All],[Insurance Category Code]],1))-ABS(SUMIFS(RX_REBATE[[#All],[Total Pharmacy Rebate Amount]],RX_REBATE[[#All],[Reporting Year]],2019,RX_REBATE[[#All],[Insurance Category Code]],1))/ICC1_MemberMonths_2019,"NA")</f>
        <v>NA</v>
      </c>
      <c r="J71" s="143" t="str">
        <f>IFERROR(Table91114[[#This Row],[2019]]/Table91114[[#This Row],[2018]]-1,"NA")</f>
        <v>NA</v>
      </c>
      <c r="L71" s="82" t="s">
        <v>230</v>
      </c>
      <c r="M71" s="146" t="str">
        <f>IFERROR((SUMIFS(TME[[#All],[Claims: Retail Pharmacy]],TME[[#All],[Reporting Year]],2018,TME[[#All],[Insurance Category Code]],5))-ABS(SUMIFS(RX_REBATE[[#All],[Total Pharmacy Rebate Amount]],RX_REBATE[[#All],[Reporting Year]],2018,RX_REBATE[[#All],[Insurance Category Code]],5))/ICC5_MemberMonths_2018,"NA")</f>
        <v>NA</v>
      </c>
      <c r="N71" s="146" t="str">
        <f>IFERROR((SUMIFS(TME[[#All],[Claims: Retail Pharmacy]],TME[[#All],[Reporting Year]],2019,TME[[#All],[Insurance Category Code]],5))-ABS(SUMIFS(RX_REBATE[[#All],[Total Pharmacy Rebate Amount]],RX_REBATE[[#All],[Reporting Year]],2019,RX_REBATE[[#All],[Insurance Category Code]],5))/ICC5_MemberMonths_2019,"NA")</f>
        <v>NA</v>
      </c>
      <c r="O71" s="143" t="str">
        <f>IFERROR(Table9111215[[#This Row],[2019]]/Table9111215[[#This Row],[2018]]-1,"NA")</f>
        <v>NA</v>
      </c>
    </row>
    <row r="72" spans="2:15" x14ac:dyDescent="0.35">
      <c r="B72" s="82" t="s">
        <v>231</v>
      </c>
      <c r="C72" s="146" t="str">
        <f t="shared" si="2"/>
        <v>NA</v>
      </c>
      <c r="D72" s="146" t="str">
        <f t="shared" si="3"/>
        <v>NA</v>
      </c>
      <c r="E72" s="143" t="str">
        <f>IFERROR(Table913[[#This Row],[2019]]/Table913[[#This Row],[2018]]-1,"NA")</f>
        <v>NA</v>
      </c>
      <c r="G72" s="82" t="s">
        <v>231</v>
      </c>
      <c r="H72" s="146" t="str">
        <f>IFERROR(-ABS(SUMIFS(RX_REBATE[[#All],[Total Pharmacy Rebate Amount]],RX_REBATE[[#All],[Reporting Year]],2018,RX_REBATE[[#All],[Insurance Category Code]],1))/ICC1_MemberMonths_2018,"NA")</f>
        <v>NA</v>
      </c>
      <c r="I72" s="146" t="str">
        <f>IFERROR(-ABS(SUMIFS(RX_REBATE[[#All],[Total Pharmacy Rebate Amount]],RX_REBATE[[#All],[Reporting Year]],2019,RX_REBATE[[#All],[Insurance Category Code]],1))/ICC1_MemberMonths_2019,"NA")</f>
        <v>NA</v>
      </c>
      <c r="J72" s="143" t="str">
        <f>IFERROR(Table91114[[#This Row],[2019]]/Table91114[[#This Row],[2018]]-1,"NA")</f>
        <v>NA</v>
      </c>
      <c r="L72" s="82" t="s">
        <v>231</v>
      </c>
      <c r="M72" s="146" t="str">
        <f>IFERROR(-ABS(SUMIFS(RX_REBATE[[#All],[Total Pharmacy Rebate Amount]],RX_REBATE[[#All],[Reporting Year]],2018,RX_REBATE[[#All],[Insurance Category Code]],5))/ICC5_MemberMonths_2018,"NA")</f>
        <v>NA</v>
      </c>
      <c r="N72" s="146" t="str">
        <f>IFERROR(-ABS(SUMIFS(RX_REBATE[[#All],[Total Pharmacy Rebate Amount]],RX_REBATE[[#All],[Reporting Year]],2019,RX_REBATE[[#All],[Insurance Category Code]],5))/ICC5_MemberMonths_2019,"NA")</f>
        <v>NA</v>
      </c>
      <c r="O72" s="143" t="str">
        <f>IFERROR(Table9111215[[#This Row],[2019]]/Table9111215[[#This Row],[2018]]-1,"NA")</f>
        <v>NA</v>
      </c>
    </row>
    <row r="73" spans="2:15" x14ac:dyDescent="0.35">
      <c r="B73" s="64" t="s">
        <v>98</v>
      </c>
      <c r="C73" s="146" t="str">
        <f t="shared" si="2"/>
        <v>NA</v>
      </c>
      <c r="D73" s="146" t="str">
        <f t="shared" si="3"/>
        <v>NA</v>
      </c>
      <c r="E73" s="143" t="str">
        <f>IFERROR(Table913[[#This Row],[2019]]/Table913[[#This Row],[2018]]-1,"NA")</f>
        <v>NA</v>
      </c>
      <c r="G73" s="64" t="s">
        <v>98</v>
      </c>
      <c r="H73" s="146" t="str">
        <f>IFERROR((SUMIFS(TME[[#All],[Claims: Other]],TME[[#All],[Reporting Year]],2018,TME[[#All],[Insurance Category Code]],1))/ICC1_MemberMonths_2018,"NA")</f>
        <v>NA</v>
      </c>
      <c r="I73" s="146" t="str">
        <f>IFERROR((SUMIFS(TME[[#All],[Claims: Other]],TME[[#All],[Reporting Year]],2019,TME[[#All],[Insurance Category Code]],1))/ICC1_MemberMonths_2019,"NA")</f>
        <v>NA</v>
      </c>
      <c r="J73" s="143" t="str">
        <f>IFERROR(Table91114[[#This Row],[2019]]/Table91114[[#This Row],[2018]]-1,"NA")</f>
        <v>NA</v>
      </c>
      <c r="L73" s="64" t="s">
        <v>98</v>
      </c>
      <c r="M73" s="146" t="str">
        <f>IFERROR((SUMIFS(TME[[#All],[Claims: Other]],TME[[#All],[Reporting Year]],2018,TME[[#All],[Insurance Category Code]],5))/ICC5_MemberMonths_2018,"NA")</f>
        <v>NA</v>
      </c>
      <c r="N73" s="146" t="str">
        <f>IFERROR((SUMIFS(TME[[#All],[Claims: Other]],TME[[#All],[Reporting Year]],2019,TME[[#All],[Insurance Category Code]],5))/ICC5_MemberMonths_2019,"NA")</f>
        <v>NA</v>
      </c>
      <c r="O73" s="143" t="str">
        <f>IFERROR(Table9111215[[#This Row],[2019]]/Table9111215[[#This Row],[2018]]-1,"NA")</f>
        <v>NA</v>
      </c>
    </row>
    <row r="74" spans="2:15" x14ac:dyDescent="0.35">
      <c r="B74" s="83" t="s">
        <v>204</v>
      </c>
      <c r="C74" s="147" t="str">
        <f t="shared" si="2"/>
        <v>NA</v>
      </c>
      <c r="D74" s="147" t="str">
        <f t="shared" si="3"/>
        <v>NA</v>
      </c>
      <c r="E74" s="144" t="str">
        <f>IFERROR(Table913[[#This Row],[2019]]/Table913[[#This Row],[2018]]-1,"NA")</f>
        <v>NA</v>
      </c>
      <c r="G74" s="83" t="s">
        <v>204</v>
      </c>
      <c r="H74" s="147" t="str">
        <f>IFERROR((SUMIFS(TME[[#All],[Total Non-Truncated Claims Spending]],TME[[#All],[Reporting Year]],2018,TME[[#All],[Insurance Category Code]],1))/ICC1_MemberMonths_2018,"NA")</f>
        <v>NA</v>
      </c>
      <c r="I74" s="147" t="str">
        <f>IFERROR((SUMIFS(TME[[#All],[Total Non-Truncated Claims Spending]],TME[[#All],[Reporting Year]],2019,TME[[#All],[Insurance Category Code]],1))/ICC1_MemberMonths_2019,"NA")</f>
        <v>NA</v>
      </c>
      <c r="J74" s="144" t="str">
        <f>IFERROR(Table91114[[#This Row],[2019]]/Table91114[[#This Row],[2018]]-1,"NA")</f>
        <v>NA</v>
      </c>
      <c r="L74" s="83" t="s">
        <v>204</v>
      </c>
      <c r="M74" s="147" t="str">
        <f>IFERROR((SUMIFS(TME[[#All],[Total Non-Truncated Claims Spending]],TME[[#All],[Reporting Year]],2018,TME[[#All],[Insurance Category Code]],5))/ICC5_MemberMonths_2018,"NA")</f>
        <v>NA</v>
      </c>
      <c r="N74" s="147" t="str">
        <f>IFERROR((SUMIFS(TME[[#All],[Total Non-Truncated Claims Spending]],TME[[#All],[Reporting Year]],2019,TME[[#All],[Insurance Category Code]],5))/ICC5_MemberMonths_2019,"NA")</f>
        <v>NA</v>
      </c>
      <c r="O74" s="144" t="str">
        <f>IFERROR(Table9111215[[#This Row],[2019]]/Table9111215[[#This Row],[2018]]-1,"NA")</f>
        <v>NA</v>
      </c>
    </row>
    <row r="75" spans="2:15" x14ac:dyDescent="0.35">
      <c r="B75" s="83" t="s">
        <v>205</v>
      </c>
      <c r="C75" s="147" t="str">
        <f t="shared" si="2"/>
        <v>NA</v>
      </c>
      <c r="D75" s="147" t="str">
        <f t="shared" si="3"/>
        <v>NA</v>
      </c>
      <c r="E75" s="144" t="str">
        <f>IFERROR(Table913[[#This Row],[2019]]/Table913[[#This Row],[2018]]-1,"NA")</f>
        <v>NA</v>
      </c>
      <c r="G75" s="83" t="s">
        <v>205</v>
      </c>
      <c r="H75" s="147" t="str">
        <f>IFERROR((SUMIFS(TME[[#All],[Total Truncated Claims Spending]],TME[[#All],[Reporting Year]],2018,TME[[#All],[Insurance Category Code]],1))/ICC1_MemberMonths_2018,"NA")</f>
        <v>NA</v>
      </c>
      <c r="I75" s="147" t="str">
        <f>IFERROR((SUMIFS(TME[[#All],[Total Truncated Claims Spending]],TME[[#All],[Reporting Year]],2019,TME[[#All],[Insurance Category Code]],1))/ICC1_MemberMonths_2019,"NA")</f>
        <v>NA</v>
      </c>
      <c r="J75" s="144" t="str">
        <f>IFERROR(Table91114[[#This Row],[2019]]/Table91114[[#This Row],[2018]]-1,"NA")</f>
        <v>NA</v>
      </c>
      <c r="L75" s="83" t="s">
        <v>205</v>
      </c>
      <c r="M75" s="147" t="str">
        <f>IFERROR((SUMIFS(TME[[#All],[Total Truncated Claims Spending]],TME[[#All],[Reporting Year]],2018,TME[[#All],[Insurance Category Code]],5))/ICC5_MemberMonths_2018,"NA")</f>
        <v>NA</v>
      </c>
      <c r="N75" s="147" t="str">
        <f>IFERROR((SUMIFS(TME[[#All],[Total Truncated Claims Spending]],TME[[#All],[Reporting Year]],2019,TME[[#All],[Insurance Category Code]],5))/ICC5_MemberMonths_2019,"NA")</f>
        <v>NA</v>
      </c>
      <c r="O75" s="144" t="str">
        <f>IFERROR(Table9111215[[#This Row],[2019]]/Table9111215[[#This Row],[2018]]-1,"NA")</f>
        <v>NA</v>
      </c>
    </row>
    <row r="76" spans="2:15" x14ac:dyDescent="0.35">
      <c r="B76" s="64" t="s">
        <v>99</v>
      </c>
      <c r="C76" s="146" t="str">
        <f t="shared" si="2"/>
        <v>NA</v>
      </c>
      <c r="D76" s="146" t="str">
        <f t="shared" si="3"/>
        <v>NA</v>
      </c>
      <c r="E76" s="143" t="str">
        <f>IFERROR(Table913[[#This Row],[2019]]/Table913[[#This Row],[2018]]-1,"NA")</f>
        <v>NA</v>
      </c>
      <c r="G76" s="64" t="s">
        <v>99</v>
      </c>
      <c r="H76" s="146" t="str">
        <f>IFERROR((SUMIFS(TME[[#All],[Non-Claims: Capitation or Bundled Pmts]],TME[[#All],[Reporting Year]],2018,TME[[#All],[Insurance Category Code]],1))/ICC1_MemberMonths_2018,"NA")</f>
        <v>NA</v>
      </c>
      <c r="I76" s="146" t="str">
        <f>IFERROR((SUMIFS(TME[[#All],[Non-Claims: Capitation or Bundled Pmts]],TME[[#All],[Reporting Year]],2019,TME[[#All],[Insurance Category Code]],1))/ICC1_MemberMonths_2019,"NA")</f>
        <v>NA</v>
      </c>
      <c r="J76" s="143" t="str">
        <f>IFERROR(Table91114[[#This Row],[2019]]/Table91114[[#This Row],[2018]]-1,"NA")</f>
        <v>NA</v>
      </c>
      <c r="L76" s="64" t="s">
        <v>99</v>
      </c>
      <c r="M76" s="146" t="str">
        <f>IFERROR((SUMIFS(TME[[#All],[Non-Claims: Capitation or Bundled Pmts]],TME[[#All],[Reporting Year]],2018,TME[[#All],[Insurance Category Code]],5))/ICC5_MemberMonths_2018,"NA")</f>
        <v>NA</v>
      </c>
      <c r="N76" s="146" t="str">
        <f>IFERROR((SUMIFS(TME[[#All],[Non-Claims: Capitation or Bundled Pmts]],TME[[#All],[Reporting Year]],2019,TME[[#All],[Insurance Category Code]],5))/ICC5_MemberMonths_2019,"NA")</f>
        <v>NA</v>
      </c>
      <c r="O76" s="143" t="str">
        <f>IFERROR(Table9111215[[#This Row],[2019]]/Table9111215[[#This Row],[2018]]-1,"NA")</f>
        <v>NA</v>
      </c>
    </row>
    <row r="77" spans="2:15" x14ac:dyDescent="0.35">
      <c r="B77" s="64" t="s">
        <v>100</v>
      </c>
      <c r="C77" s="146" t="str">
        <f t="shared" si="2"/>
        <v>NA</v>
      </c>
      <c r="D77" s="146" t="str">
        <f t="shared" si="3"/>
        <v>NA</v>
      </c>
      <c r="E77" s="143" t="str">
        <f>IFERROR(Table913[[#This Row],[2019]]/Table913[[#This Row],[2018]]-1,"NA")</f>
        <v>NA</v>
      </c>
      <c r="G77" s="64" t="s">
        <v>100</v>
      </c>
      <c r="H77" s="146" t="str">
        <f>IFERROR((SUMIFS(TME[[#All],[Non-Claims: Performance Incentive Pmts]],TME[[#All],[Reporting Year]],2018,TME[[#All],[Insurance Category Code]],1))/ICC1_MemberMonths_2018,"NA")</f>
        <v>NA</v>
      </c>
      <c r="I77" s="146" t="str">
        <f>IFERROR((SUMIFS(TME[[#All],[Non-Claims: Performance Incentive Pmts]],TME[[#All],[Reporting Year]],2019,TME[[#All],[Insurance Category Code]],1))/ICC1_MemberMonths_2019,"NA")</f>
        <v>NA</v>
      </c>
      <c r="J77" s="143" t="str">
        <f>IFERROR(Table91114[[#This Row],[2019]]/Table91114[[#This Row],[2018]]-1,"NA")</f>
        <v>NA</v>
      </c>
      <c r="L77" s="64" t="s">
        <v>100</v>
      </c>
      <c r="M77" s="146" t="str">
        <f>IFERROR((SUMIFS(TME[[#All],[Non-Claims: Performance Incentive Pmts]],TME[[#All],[Reporting Year]],2018,TME[[#All],[Insurance Category Code]],5))/ICC5_MemberMonths_2018,"NA")</f>
        <v>NA</v>
      </c>
      <c r="N77" s="146" t="str">
        <f>IFERROR((SUMIFS(TME[[#All],[Non-Claims: Performance Incentive Pmts]],TME[[#All],[Reporting Year]],2019,TME[[#All],[Insurance Category Code]],5))/ICC5_MemberMonths_2019,"NA")</f>
        <v>NA</v>
      </c>
      <c r="O77" s="143" t="str">
        <f>IFERROR(Table9111215[[#This Row],[2019]]/Table9111215[[#This Row],[2018]]-1,"NA")</f>
        <v>NA</v>
      </c>
    </row>
    <row r="78" spans="2:15" x14ac:dyDescent="0.35">
      <c r="B78" s="64" t="s">
        <v>101</v>
      </c>
      <c r="C78" s="146" t="str">
        <f t="shared" si="2"/>
        <v>NA</v>
      </c>
      <c r="D78" s="146" t="str">
        <f t="shared" si="3"/>
        <v>NA</v>
      </c>
      <c r="E78" s="143" t="str">
        <f>IFERROR(Table913[[#This Row],[2019]]/Table913[[#This Row],[2018]]-1,"NA")</f>
        <v>NA</v>
      </c>
      <c r="G78" s="64" t="s">
        <v>101</v>
      </c>
      <c r="H78" s="146" t="str">
        <f>IFERROR((SUMIFS(TME[[#All],[Non-Claims: Pop Health and Practice Infrastructure Pmts]],TME[[#All],[Reporting Year]],2018,TME[[#All],[Insurance Category Code]],1))/ICC1_MemberMonths_2018,"NA")</f>
        <v>NA</v>
      </c>
      <c r="I78" s="146" t="str">
        <f>IFERROR((SUMIFS(TME[[#All],[Non-Claims: Pop Health and Practice Infrastructure Pmts]],TME[[#All],[Reporting Year]],2019,TME[[#All],[Insurance Category Code]],1))/ICC1_MemberMonths_2019,"NA")</f>
        <v>NA</v>
      </c>
      <c r="J78" s="143" t="str">
        <f>IFERROR(Table91114[[#This Row],[2019]]/Table91114[[#This Row],[2018]]-1,"NA")</f>
        <v>NA</v>
      </c>
      <c r="L78" s="64" t="s">
        <v>101</v>
      </c>
      <c r="M78" s="146" t="str">
        <f>IFERROR((SUMIFS(TME[[#All],[Non-Claims: Pop Health and Practice Infrastructure Pmts]],TME[[#All],[Reporting Year]],2018,TME[[#All],[Insurance Category Code]],5))/ICC5_MemberMonths_2018,"NA")</f>
        <v>NA</v>
      </c>
      <c r="N78" s="146" t="str">
        <f>IFERROR((SUMIFS(TME[[#All],[Non-Claims: Pop Health and Practice Infrastructure Pmts]],TME[[#All],[Reporting Year]],2019,TME[[#All],[Insurance Category Code]],5))/ICC5_MemberMonths_2019,"NA")</f>
        <v>NA</v>
      </c>
      <c r="O78" s="143" t="str">
        <f>IFERROR(Table9111215[[#This Row],[2019]]/Table9111215[[#This Row],[2018]]-1,"NA")</f>
        <v>NA</v>
      </c>
    </row>
    <row r="79" spans="2:15" x14ac:dyDescent="0.35">
      <c r="B79" s="64" t="s">
        <v>102</v>
      </c>
      <c r="C79" s="146" t="str">
        <f t="shared" si="2"/>
        <v>NA</v>
      </c>
      <c r="D79" s="146" t="str">
        <f t="shared" si="3"/>
        <v>NA</v>
      </c>
      <c r="E79" s="143" t="str">
        <f>IFERROR(Table913[[#This Row],[2019]]/Table913[[#This Row],[2018]]-1,"NA")</f>
        <v>NA</v>
      </c>
      <c r="G79" s="64" t="s">
        <v>102</v>
      </c>
      <c r="H79" s="146" t="str">
        <f>IFERROR((SUMIFS(TME[[#All],[Non-Claims: Provider Salaries]],TME[[#All],[Reporting Year]],2018,TME[[#All],[Insurance Category Code]],1))/ICC1_MemberMonths_2018,"NA")</f>
        <v>NA</v>
      </c>
      <c r="I79" s="146" t="str">
        <f>IFERROR((SUMIFS(TME[[#All],[Non-Claims: Provider Salaries]],TME[[#All],[Reporting Year]],2019,TME[[#All],[Insurance Category Code]],1))/ICC1_MemberMonths_2019,"NA")</f>
        <v>NA</v>
      </c>
      <c r="J79" s="143" t="str">
        <f>IFERROR(Table91114[[#This Row],[2019]]/Table91114[[#This Row],[2018]]-1,"NA")</f>
        <v>NA</v>
      </c>
      <c r="L79" s="64" t="s">
        <v>102</v>
      </c>
      <c r="M79" s="146" t="str">
        <f>IFERROR((SUMIFS(TME[[#All],[Non-Claims: Provider Salaries]],TME[[#All],[Reporting Year]],2018,TME[[#All],[Insurance Category Code]],5))/ICC5_MemberMonths_2018,"NA")</f>
        <v>NA</v>
      </c>
      <c r="N79" s="146" t="str">
        <f>IFERROR((SUMIFS(TME[[#All],[Non-Claims: Provider Salaries]],TME[[#All],[Reporting Year]],2019,TME[[#All],[Insurance Category Code]],5))/ICC5_MemberMonths_2019,"NA")</f>
        <v>NA</v>
      </c>
      <c r="O79" s="143" t="str">
        <f>IFERROR(Table9111215[[#This Row],[2019]]/Table9111215[[#This Row],[2018]]-1,"NA")</f>
        <v>NA</v>
      </c>
    </row>
    <row r="80" spans="2:15" x14ac:dyDescent="0.35">
      <c r="B80" s="64" t="s">
        <v>103</v>
      </c>
      <c r="C80" s="146" t="str">
        <f t="shared" si="2"/>
        <v>NA</v>
      </c>
      <c r="D80" s="146" t="str">
        <f t="shared" si="3"/>
        <v>NA</v>
      </c>
      <c r="E80" s="143" t="str">
        <f>IFERROR(Table913[[#This Row],[2019]]/Table913[[#This Row],[2018]]-1,"NA")</f>
        <v>NA</v>
      </c>
      <c r="G80" s="64" t="s">
        <v>103</v>
      </c>
      <c r="H80" s="146" t="str">
        <f>IFERROR((SUMIFS(TME[[#All],[Non-Claims: Recovery]],TME[[#All],[Reporting Year]],2018,TME[[#All],[Insurance Category Code]],1))/ICC1_MemberMonths_2018,"NA")</f>
        <v>NA</v>
      </c>
      <c r="I80" s="146" t="str">
        <f>IFERROR((SUMIFS(TME[[#All],[Non-Claims: Recovery]],TME[[#All],[Reporting Year]],2019,TME[[#All],[Insurance Category Code]],1))/ICC1_MemberMonths_2019,"NA")</f>
        <v>NA</v>
      </c>
      <c r="J80" s="143" t="str">
        <f>IFERROR(Table91114[[#This Row],[2019]]/Table91114[[#This Row],[2018]]-1,"NA")</f>
        <v>NA</v>
      </c>
      <c r="L80" s="64" t="s">
        <v>103</v>
      </c>
      <c r="M80" s="146" t="str">
        <f>IFERROR((SUMIFS(TME[[#All],[Non-Claims: Recovery]],TME[[#All],[Reporting Year]],2018,TME[[#All],[Insurance Category Code]],5))/ICC5_MemberMonths_2018,"NA")</f>
        <v>NA</v>
      </c>
      <c r="N80" s="146" t="str">
        <f>IFERROR((SUMIFS(TME[[#All],[Non-Claims: Recovery]],TME[[#All],[Reporting Year]],2019,TME[[#All],[Insurance Category Code]],5))/ICC5_MemberMonths_2019,"NA")</f>
        <v>NA</v>
      </c>
      <c r="O80" s="143" t="str">
        <f>IFERROR(Table9111215[[#This Row],[2019]]/Table9111215[[#This Row],[2018]]-1,"NA")</f>
        <v>NA</v>
      </c>
    </row>
    <row r="81" spans="2:15" x14ac:dyDescent="0.35">
      <c r="B81" s="64" t="s">
        <v>104</v>
      </c>
      <c r="C81" s="146" t="str">
        <f t="shared" si="2"/>
        <v>NA</v>
      </c>
      <c r="D81" s="146" t="str">
        <f t="shared" si="3"/>
        <v>NA</v>
      </c>
      <c r="E81" s="143" t="str">
        <f>IFERROR(Table913[[#This Row],[2019]]/Table913[[#This Row],[2018]]-1,"NA")</f>
        <v>NA</v>
      </c>
      <c r="G81" s="64" t="s">
        <v>104</v>
      </c>
      <c r="H81" s="146" t="str">
        <f>IFERROR((SUMIFS(TME[[#All],[Non-Claims: Other]],TME[[#All],[Reporting Year]],2018,TME[[#All],[Insurance Category Code]],1))/ICC1_MemberMonths_2018,"NA")</f>
        <v>NA</v>
      </c>
      <c r="I81" s="146" t="str">
        <f>IFERROR((SUMIFS(TME[[#All],[Non-Claims: Other]],TME[[#All],[Reporting Year]],2019,TME[[#All],[Insurance Category Code]],1))/ICC1_MemberMonths_2019,"NA")</f>
        <v>NA</v>
      </c>
      <c r="J81" s="143" t="str">
        <f>IFERROR(Table91114[[#This Row],[2019]]/Table91114[[#This Row],[2018]]-1,"NA")</f>
        <v>NA</v>
      </c>
      <c r="L81" s="64" t="s">
        <v>104</v>
      </c>
      <c r="M81" s="146" t="str">
        <f>IFERROR((SUMIFS(TME[[#All],[Non-Claims: Other]],TME[[#All],[Reporting Year]],2018,TME[[#All],[Insurance Category Code]],5))/ICC5_MemberMonths_2018,"NA")</f>
        <v>NA</v>
      </c>
      <c r="N81" s="146" t="str">
        <f>IFERROR((SUMIFS(TME[[#All],[Non-Claims: Other]],TME[[#All],[Reporting Year]],2019,TME[[#All],[Insurance Category Code]],5))/ICC5_MemberMonths_2019,"NA")</f>
        <v>NA</v>
      </c>
      <c r="O81" s="143" t="str">
        <f>IFERROR(Table9111215[[#This Row],[2019]]/Table9111215[[#This Row],[2018]]-1,"NA")</f>
        <v>NA</v>
      </c>
    </row>
    <row r="82" spans="2:15" x14ac:dyDescent="0.35">
      <c r="B82" s="64" t="s">
        <v>266</v>
      </c>
      <c r="C82" s="146" t="str">
        <f t="shared" si="2"/>
        <v>NA</v>
      </c>
      <c r="D82" s="146" t="str">
        <f t="shared" si="3"/>
        <v>NA</v>
      </c>
      <c r="E82" s="143" t="str">
        <f>IFERROR(Table913[[#This Row],[2019]]/Table913[[#This Row],[2018]]-1,"NA")</f>
        <v>NA</v>
      </c>
      <c r="G82" s="64" t="s">
        <v>266</v>
      </c>
      <c r="H82" s="146" t="str">
        <f>IFERROR((SUMIFS(TME[[#All],[Non-Claims: Total Primary Care Non-Claims-Based Payments]],TME[[#All],[Reporting Year]],2018,TME[[#All],[Insurance Category Code]],1))/ICC1_MemberMonths_2018,"NA")</f>
        <v>NA</v>
      </c>
      <c r="I82" s="146" t="str">
        <f>IFERROR((SUMIFS(TME[[#All],[Non-Claims: Total Primary Care Non-Claims-Based Payments]],TME[[#All],[Reporting Year]],2019,TME[[#All],[Insurance Category Code]],1))/ICC1_MemberMonths_2019,"NA")</f>
        <v>NA</v>
      </c>
      <c r="J82" s="143" t="str">
        <f>IFERROR(Table91114[[#This Row],[2019]]/Table91114[[#This Row],[2018]]-1,"NA")</f>
        <v>NA</v>
      </c>
      <c r="L82" s="64" t="s">
        <v>266</v>
      </c>
      <c r="M82" s="146" t="str">
        <f>IFERROR((SUMIFS(TME[[#All],[Non-Claims: Total Primary Care Non-Claims-Based Payments]],TME[[#All],[Reporting Year]],2018,TME[[#All],[Insurance Category Code]],5))/ICC5_MemberMonths_2018,"NA")</f>
        <v>NA</v>
      </c>
      <c r="N82" s="146" t="str">
        <f>IFERROR((SUMIFS(TME[[#All],[Non-Claims: Total Primary Care Non-Claims-Based Payments]],TME[[#All],[Reporting Year]],2019,TME[[#All],[Insurance Category Code]],5))/ICC5_MemberMonths_2019,"NA")</f>
        <v>NA</v>
      </c>
      <c r="O82" s="143" t="str">
        <f>IFERROR(Table9111215[[#This Row],[2019]]/Table9111215[[#This Row],[2018]]-1,"NA")</f>
        <v>NA</v>
      </c>
    </row>
    <row r="83" spans="2:15" x14ac:dyDescent="0.35">
      <c r="B83" s="83" t="s">
        <v>232</v>
      </c>
      <c r="C83" s="147" t="str">
        <f t="shared" si="2"/>
        <v>NA</v>
      </c>
      <c r="D83" s="147" t="str">
        <f t="shared" si="3"/>
        <v>NA</v>
      </c>
      <c r="E83" s="143" t="str">
        <f>IFERROR(Table913[[#This Row],[2019]]/Table913[[#This Row],[2018]]-1,"NA")</f>
        <v>NA</v>
      </c>
      <c r="G83" s="83" t="s">
        <v>232</v>
      </c>
      <c r="H83" s="147" t="str">
        <f>IFERROR((SUMIFS(TME[[#All],[Total Non-Claims Spending]],TME[[#All],[Reporting Year]],2018,TME[[#All],[Insurance Category Code]],1))/ICC1_MemberMonths_2018,"NA")</f>
        <v>NA</v>
      </c>
      <c r="I83" s="147" t="str">
        <f>IFERROR((SUMIFS(TME[[#All],[Total Non-Claims Spending]],TME[[#All],[Reporting Year]],2019,TME[[#All],[Insurance Category Code]],1))/ICC1_MemberMonths_2019,"NA")</f>
        <v>NA</v>
      </c>
      <c r="J83" s="143" t="str">
        <f>IFERROR(Table91114[[#This Row],[2019]]/Table91114[[#This Row],[2018]]-1,"NA")</f>
        <v>NA</v>
      </c>
      <c r="L83" s="83" t="s">
        <v>232</v>
      </c>
      <c r="M83" s="147" t="str">
        <f>IFERROR((SUMIFS(TME[[#All],[Total Non-Claims Spending]],TME[[#All],[Reporting Year]],2018,TME[[#All],[Insurance Category Code]],5))/ICC5_MemberMonths_2018,"NA")</f>
        <v>NA</v>
      </c>
      <c r="N83" s="147" t="str">
        <f>IFERROR((SUMIFS(TME[[#All],[Total Non-Claims Spending]],TME[[#All],[Reporting Year]],2019,TME[[#All],[Insurance Category Code]],5))/ICC5_MemberMonths_2019,"NA")</f>
        <v>NA</v>
      </c>
      <c r="O83" s="143" t="str">
        <f>IFERROR(Table9111215[[#This Row],[2019]]/Table9111215[[#This Row],[2018]]-1,"NA")</f>
        <v>NA</v>
      </c>
    </row>
    <row r="84" spans="2:15" x14ac:dyDescent="0.35">
      <c r="B84" s="84" t="s">
        <v>233</v>
      </c>
      <c r="C84" s="148" t="str">
        <f t="shared" si="2"/>
        <v>NA</v>
      </c>
      <c r="D84" s="148" t="str">
        <f t="shared" si="3"/>
        <v>NA</v>
      </c>
      <c r="E84" s="145" t="str">
        <f>IFERROR(Table913[[#This Row],[2019]]/Table913[[#This Row],[2018]]-1,"NA")</f>
        <v>NA</v>
      </c>
      <c r="G84" s="84" t="s">
        <v>233</v>
      </c>
      <c r="H84" s="148" t="str">
        <f>IFERROR((SUMIFS(TME[[#All],[Total Non-Truncated Claims and Non-Claims Spending]],TME[[#All],[Reporting Year]],2018,TME[[#All],[Insurance Category Code]],1))/ICC1_MemberMonths_2018,"NA")</f>
        <v>NA</v>
      </c>
      <c r="I84" s="148" t="str">
        <f>IFERROR((SUMIFS(TME[[#All],[Total Non-Truncated Claims and Non-Claims Spending]],TME[[#All],[Reporting Year]],2019,TME[[#All],[Insurance Category Code]],1))/ICC1_MemberMonths_2019,"NA")</f>
        <v>NA</v>
      </c>
      <c r="J84" s="145" t="str">
        <f>IFERROR(Table91114[[#This Row],[2019]]/Table91114[[#This Row],[2018]]-1,"NA")</f>
        <v>NA</v>
      </c>
      <c r="L84" s="84" t="s">
        <v>233</v>
      </c>
      <c r="M84" s="148" t="str">
        <f>IFERROR((SUMIFS(TME[[#All],[Total Non-Truncated Claims and Non-Claims Spending]],TME[[#All],[Reporting Year]],2018,TME[[#All],[Insurance Category Code]],5))/ICC5_MemberMonths_2018,"NA")</f>
        <v>NA</v>
      </c>
      <c r="N84" s="148" t="str">
        <f>IFERROR((SUMIFS(TME[[#All],[Total Non-Truncated Claims and Non-Claims Spending]],TME[[#All],[Reporting Year]],2019,TME[[#All],[Insurance Category Code]],5))/ICC5_MemberMonths_2019,"NA")</f>
        <v>NA</v>
      </c>
      <c r="O84" s="145" t="str">
        <f>IFERROR(Table9111215[[#This Row],[2019]]/Table9111215[[#This Row],[2018]]-1,"NA")</f>
        <v>NA</v>
      </c>
    </row>
    <row r="85" spans="2:15" x14ac:dyDescent="0.35">
      <c r="B85" s="85" t="s">
        <v>234</v>
      </c>
      <c r="C85" s="148" t="str">
        <f t="shared" si="2"/>
        <v>NA</v>
      </c>
      <c r="D85" s="148" t="str">
        <f t="shared" si="3"/>
        <v>NA</v>
      </c>
      <c r="E85" s="145" t="str">
        <f>IFERROR(Table913[[#This Row],[2019]]/Table913[[#This Row],[2018]]-1,"NA")</f>
        <v>NA</v>
      </c>
      <c r="G85" s="85" t="s">
        <v>234</v>
      </c>
      <c r="H85" s="148" t="str">
        <f>IFERROR((SUMIFS(TME[[#All],[Truncated Total Expenses (Total Truncated Claims Expenses + Non-Claims Expenses)]],TME[[#All],[Reporting Year]],2018,TME[[#All],[Insurance Category Code]],1))/ICC1_MemberMonths_2018,"NA")</f>
        <v>NA</v>
      </c>
      <c r="I85" s="148" t="str">
        <f>IFERROR((SUMIFS(TME[[#All],[Truncated Total Expenses (Total Truncated Claims Expenses + Non-Claims Expenses)]],TME[[#All],[Reporting Year]],2019,TME[[#All],[Insurance Category Code]],1))/ICC1_MemberMonths_2019,"NA")</f>
        <v>NA</v>
      </c>
      <c r="J85" s="145" t="str">
        <f>IFERROR(Table91114[[#This Row],[2019]]/Table91114[[#This Row],[2018]]-1,"NA")</f>
        <v>NA</v>
      </c>
      <c r="L85" s="85" t="s">
        <v>234</v>
      </c>
      <c r="M85" s="148" t="str">
        <f>IFERROR((SUMIFS(TME[[#All],[Truncated Total Expenses (Total Truncated Claims Expenses + Non-Claims Expenses)]],TME[[#All],[Reporting Year]],2018,TME[[#All],[Insurance Category Code]],5))/ICC5_MemberMonths_2018,"NA")</f>
        <v>NA</v>
      </c>
      <c r="N85" s="148" t="str">
        <f>IFERROR((SUMIFS(TME[[#All],[Truncated Total Expenses (Total Truncated Claims Expenses + Non-Claims Expenses)]],TME[[#All],[Reporting Year]],2019,TME[[#All],[Insurance Category Code]],5))/ICC5_MemberMonths_2019,"NA")</f>
        <v>NA</v>
      </c>
      <c r="O85" s="145" t="str">
        <f>IFERROR(Table9111215[[#This Row],[2019]]/Table9111215[[#This Row],[2018]]-1,"NA")</f>
        <v>NA</v>
      </c>
    </row>
    <row r="87" spans="2:15" x14ac:dyDescent="0.35">
      <c r="B87" s="71" t="s">
        <v>238</v>
      </c>
      <c r="G87" s="71" t="s">
        <v>239</v>
      </c>
      <c r="L87" s="71" t="s">
        <v>240</v>
      </c>
    </row>
    <row r="88" spans="2:15" x14ac:dyDescent="0.35">
      <c r="B88" s="70" t="s">
        <v>307</v>
      </c>
      <c r="G88" s="70" t="s">
        <v>307</v>
      </c>
      <c r="L88" s="70" t="s">
        <v>307</v>
      </c>
    </row>
    <row r="89" spans="2:15" x14ac:dyDescent="0.35">
      <c r="B89" s="69" t="s">
        <v>228</v>
      </c>
      <c r="C89" s="149" t="s">
        <v>211</v>
      </c>
      <c r="D89" s="149" t="s">
        <v>212</v>
      </c>
      <c r="E89" s="150" t="s">
        <v>213</v>
      </c>
      <c r="G89" s="69" t="s">
        <v>228</v>
      </c>
      <c r="H89" s="149" t="s">
        <v>211</v>
      </c>
      <c r="I89" s="149" t="s">
        <v>212</v>
      </c>
      <c r="J89" s="150" t="s">
        <v>213</v>
      </c>
      <c r="L89" s="69" t="s">
        <v>228</v>
      </c>
      <c r="M89" s="149" t="s">
        <v>211</v>
      </c>
      <c r="N89" s="149" t="s">
        <v>212</v>
      </c>
      <c r="O89" s="150" t="s">
        <v>213</v>
      </c>
    </row>
    <row r="90" spans="2:15" x14ac:dyDescent="0.35">
      <c r="B90" s="64" t="s">
        <v>90</v>
      </c>
      <c r="C90" s="141">
        <f>SUM(H90,M90)</f>
        <v>0</v>
      </c>
      <c r="D90" s="141">
        <f>SUM(I90,N90)</f>
        <v>0</v>
      </c>
      <c r="E90" s="143" t="str">
        <f>IFERROR(Table91316[[#This Row],[2019]]/Table91316[[#This Row],[2018]]-1,"NA")</f>
        <v>NA</v>
      </c>
      <c r="G90" s="64" t="s">
        <v>90</v>
      </c>
      <c r="H90" s="141">
        <f>SUMIFS(TME[[#All],[Member Months]],TME[[#All],[Reporting Year]],2018,TME[[#All],[Insurance Category Code]],2)</f>
        <v>0</v>
      </c>
      <c r="I90" s="141">
        <f>SUMIFS(TME[[#All],[Member Months]],TME[[#All],[Reporting Year]],2019,TME[[#All],[Insurance Category Code]],2)</f>
        <v>0</v>
      </c>
      <c r="J90" s="143" t="str">
        <f>IFERROR(Table9111417[[#This Row],[2019]]/Table9111417[[#This Row],[2018]]-1,"NA")</f>
        <v>NA</v>
      </c>
      <c r="L90" s="64" t="s">
        <v>90</v>
      </c>
      <c r="M90" s="141">
        <f>SUMIFS(TME[[#All],[Member Months]],TME[[#All],[Reporting Year]],2018,TME[[#All],[Insurance Category Code]],6)</f>
        <v>0</v>
      </c>
      <c r="N90" s="141">
        <f>SUMIFS(TME[[#All],[Member Months]],TME[[#All],[Reporting Year]],2019,TME[[#All],[Insurance Category Code]],6)</f>
        <v>0</v>
      </c>
      <c r="O90" s="143" t="str">
        <f>IFERROR(Table911121518[[#This Row],[2019]]/Table911121518[[#This Row],[2018]]-1,"NA")</f>
        <v>NA</v>
      </c>
    </row>
    <row r="91" spans="2:15" x14ac:dyDescent="0.35">
      <c r="B91" s="64" t="s">
        <v>91</v>
      </c>
      <c r="C91" s="146" t="str">
        <f t="shared" ref="C91:C112" si="4">IFERROR((SUMPRODUCT(ICC2_MemberMonths_2018,H91)+SUMPRODUCT(ICC6_MemberMonths_2018,M91))/Medicaid_MemberMonths_2018,"NA")</f>
        <v>NA</v>
      </c>
      <c r="D91" s="146" t="str">
        <f t="shared" ref="D91:D112" si="5">IFERROR((SUMPRODUCT(ICC2_MemberMonths_2019,I91)+SUMPRODUCT(ICC6_MemberMonths_2019,N91))/Medicaid_MemberMonths_2019,"NA")</f>
        <v>NA</v>
      </c>
      <c r="E91" s="143" t="str">
        <f>IFERROR(Table91316[[#This Row],[2019]]/Table91316[[#This Row],[2018]]-1,"NA")</f>
        <v>NA</v>
      </c>
      <c r="G91" s="64" t="s">
        <v>91</v>
      </c>
      <c r="H91" s="146" t="str">
        <f>IFERROR((SUMIFS(TME[[#All],[Claims: Hospital Inpatient]],TME[[#All],[Reporting Year]],2018,TME[[#All],[Insurance Category Code]],2))/ICC2_MemberMonths_2018,"NA")</f>
        <v>NA</v>
      </c>
      <c r="I91" s="146" t="str">
        <f>IFERROR((SUMIFS(TME[[#All],[Claims: Hospital Inpatient]],TME[[#All],[Reporting Year]],2019,TME[[#All],[Insurance Category Code]],2))/ICC2_MemberMonths_2019,"NA")</f>
        <v>NA</v>
      </c>
      <c r="J91" s="143" t="str">
        <f>IFERROR(Table9111417[[#This Row],[2019]]/Table9111417[[#This Row],[2018]]-1,"NA")</f>
        <v>NA</v>
      </c>
      <c r="L91" s="64" t="s">
        <v>91</v>
      </c>
      <c r="M91" s="146" t="str">
        <f>IFERROR((SUMIFS(TME[[#All],[Claims: Hospital Inpatient]],TME[[#All],[Reporting Year]],2018,TME[[#All],[Insurance Category Code]],6))/ICC6_MemberMonths_2018,"NA")</f>
        <v>NA</v>
      </c>
      <c r="N91" s="146" t="str">
        <f>IFERROR((SUMIFS(TME[[#All],[Claims: Hospital Inpatient]],TME[[#All],[Reporting Year]],2019,TME[[#All],[Insurance Category Code]],6))/ICC6_MemberMonths_2019,"NA")</f>
        <v>NA</v>
      </c>
      <c r="O91" s="143" t="str">
        <f>IFERROR(Table911121518[[#This Row],[2019]]/Table911121518[[#This Row],[2018]]-1,"NA")</f>
        <v>NA</v>
      </c>
    </row>
    <row r="92" spans="2:15" x14ac:dyDescent="0.35">
      <c r="B92" s="64" t="s">
        <v>92</v>
      </c>
      <c r="C92" s="146" t="str">
        <f t="shared" si="4"/>
        <v>NA</v>
      </c>
      <c r="D92" s="146" t="str">
        <f t="shared" si="5"/>
        <v>NA</v>
      </c>
      <c r="E92" s="143" t="str">
        <f>IFERROR(Table91316[[#This Row],[2019]]/Table91316[[#This Row],[2018]]-1,"NA")</f>
        <v>NA</v>
      </c>
      <c r="F92" s="37"/>
      <c r="G92" s="64" t="s">
        <v>92</v>
      </c>
      <c r="H92" s="146" t="str">
        <f>IFERROR((SUMIFS(TME[[#All],[Claims: Hospital Outpatient]],TME[[#All],[Reporting Year]],2018,TME[[#All],[Insurance Category Code]],2))/ICC2_MemberMonths_2018,"NA")</f>
        <v>NA</v>
      </c>
      <c r="I92" s="146" t="str">
        <f>IFERROR((SUMIFS(TME[[#All],[Claims: Hospital Outpatient]],TME[[#All],[Reporting Year]],2019,TME[[#All],[Insurance Category Code]],2))/ICC2_MemberMonths_2019,"NA")</f>
        <v>NA</v>
      </c>
      <c r="J92" s="143" t="str">
        <f>IFERROR(Table9111417[[#This Row],[2019]]/Table9111417[[#This Row],[2018]]-1,"NA")</f>
        <v>NA</v>
      </c>
      <c r="L92" s="64" t="s">
        <v>92</v>
      </c>
      <c r="M92" s="146" t="str">
        <f>IFERROR((SUMIFS(TME[[#All],[Claims: Hospital Outpatient]],TME[[#All],[Reporting Year]],2018,TME[[#All],[Insurance Category Code]],6))/ICC6_MemberMonths_2018,"NA")</f>
        <v>NA</v>
      </c>
      <c r="N92" s="146" t="str">
        <f>IFERROR((SUMIFS(TME[[#All],[Claims: Hospital Outpatient]],TME[[#All],[Reporting Year]],2019,TME[[#All],[Insurance Category Code]],6))/ICC6_MemberMonths_2019,"NA")</f>
        <v>NA</v>
      </c>
      <c r="O92" s="143" t="str">
        <f>IFERROR(Table911121518[[#This Row],[2019]]/Table911121518[[#This Row],[2018]]-1,"NA")</f>
        <v>NA</v>
      </c>
    </row>
    <row r="93" spans="2:15" x14ac:dyDescent="0.35">
      <c r="B93" s="64" t="s">
        <v>93</v>
      </c>
      <c r="C93" s="146" t="str">
        <f t="shared" si="4"/>
        <v>NA</v>
      </c>
      <c r="D93" s="146" t="str">
        <f t="shared" si="5"/>
        <v>NA</v>
      </c>
      <c r="E93" s="143" t="str">
        <f>IFERROR(Table91316[[#This Row],[2019]]/Table91316[[#This Row],[2018]]-1,"NA")</f>
        <v>NA</v>
      </c>
      <c r="G93" s="64" t="s">
        <v>93</v>
      </c>
      <c r="H93" s="146" t="str">
        <f>IFERROR((SUMIFS(TME[[#All],[Claims: Professional, Primary Care Providers]],TME[[#All],[Reporting Year]],2018,TME[[#All],[Insurance Category Code]],2))/ICC2_MemberMonths_2018,"NA")</f>
        <v>NA</v>
      </c>
      <c r="I93" s="146" t="str">
        <f>IFERROR((SUMIFS(TME[[#All],[Claims: Professional, Primary Care Providers]],TME[[#All],[Reporting Year]],2019,TME[[#All],[Insurance Category Code]],2))/ICC2_MemberMonths_2019,"NA")</f>
        <v>NA</v>
      </c>
      <c r="J93" s="143" t="str">
        <f>IFERROR(Table9111417[[#This Row],[2019]]/Table9111417[[#This Row],[2018]]-1,"NA")</f>
        <v>NA</v>
      </c>
      <c r="L93" s="64" t="s">
        <v>93</v>
      </c>
      <c r="M93" s="146" t="str">
        <f>IFERROR((SUMIFS(TME[[#All],[Claims: Professional, Primary Care Providers]],TME[[#All],[Reporting Year]],2018,TME[[#All],[Insurance Category Code]],6))/ICC6_MemberMonths_2018,"NA")</f>
        <v>NA</v>
      </c>
      <c r="N93" s="146" t="str">
        <f>IFERROR((SUMIFS(TME[[#All],[Claims: Professional, Primary Care Providers]],TME[[#All],[Reporting Year]],2019,TME[[#All],[Insurance Category Code]],6))/ICC6_MemberMonths_2019,"NA")</f>
        <v>NA</v>
      </c>
      <c r="O93" s="143" t="str">
        <f>IFERROR(Table911121518[[#This Row],[2019]]/Table911121518[[#This Row],[2018]]-1,"NA")</f>
        <v>NA</v>
      </c>
    </row>
    <row r="94" spans="2:15" x14ac:dyDescent="0.35">
      <c r="B94" s="64" t="s">
        <v>94</v>
      </c>
      <c r="C94" s="146" t="str">
        <f t="shared" si="4"/>
        <v>NA</v>
      </c>
      <c r="D94" s="146" t="str">
        <f t="shared" si="5"/>
        <v>NA</v>
      </c>
      <c r="E94" s="143" t="str">
        <f>IFERROR(Table91316[[#This Row],[2019]]/Table91316[[#This Row],[2018]]-1,"NA")</f>
        <v>NA</v>
      </c>
      <c r="G94" s="64" t="s">
        <v>94</v>
      </c>
      <c r="H94" s="146" t="str">
        <f>IFERROR((SUMIFS(TME[[#All],[Claims: Professional, Specialty Providers]],TME[[#All],[Reporting Year]],2018,TME[[#All],[Insurance Category Code]],2))/ICC2_MemberMonths_2018,"NA")</f>
        <v>NA</v>
      </c>
      <c r="I94" s="146" t="str">
        <f>IFERROR((SUMIFS(TME[[#All],[Claims: Professional, Specialty Providers]],TME[[#All],[Reporting Year]],2019,TME[[#All],[Insurance Category Code]],2))/ICC2_MemberMonths_2019,"NA")</f>
        <v>NA</v>
      </c>
      <c r="J94" s="143" t="str">
        <f>IFERROR(Table9111417[[#This Row],[2019]]/Table9111417[[#This Row],[2018]]-1,"NA")</f>
        <v>NA</v>
      </c>
      <c r="L94" s="64" t="s">
        <v>94</v>
      </c>
      <c r="M94" s="146" t="str">
        <f>IFERROR((SUMIFS(TME[[#All],[Claims: Professional, Specialty Providers]],TME[[#All],[Reporting Year]],2018,TME[[#All],[Insurance Category Code]],6))/ICC6_MemberMonths_2018,"NA")</f>
        <v>NA</v>
      </c>
      <c r="N94" s="146" t="str">
        <f>IFERROR((SUMIFS(TME[[#All],[Claims: Professional, Specialty Providers]],TME[[#All],[Reporting Year]],2019,TME[[#All],[Insurance Category Code]],6))/ICC6_MemberMonths_2019,"NA")</f>
        <v>NA</v>
      </c>
      <c r="O94" s="143" t="str">
        <f>IFERROR(Table911121518[[#This Row],[2019]]/Table911121518[[#This Row],[2018]]-1,"NA")</f>
        <v>NA</v>
      </c>
    </row>
    <row r="95" spans="2:15" x14ac:dyDescent="0.35">
      <c r="B95" s="64" t="s">
        <v>95</v>
      </c>
      <c r="C95" s="146" t="str">
        <f t="shared" si="4"/>
        <v>NA</v>
      </c>
      <c r="D95" s="146" t="str">
        <f t="shared" si="5"/>
        <v>NA</v>
      </c>
      <c r="E95" s="143" t="str">
        <f>IFERROR(Table91316[[#This Row],[2019]]/Table91316[[#This Row],[2018]]-1,"NA")</f>
        <v>NA</v>
      </c>
      <c r="G95" s="64" t="s">
        <v>95</v>
      </c>
      <c r="H95" s="146" t="str">
        <f>IFERROR((SUMIFS(TME[[#All],[Claims: Professional, Other Providers]],TME[[#All],[Reporting Year]],2018,TME[[#All],[Insurance Category Code]],2))/ICC2_MemberMonths_2018,"NA")</f>
        <v>NA</v>
      </c>
      <c r="I95" s="146" t="str">
        <f>IFERROR((SUMIFS(TME[[#All],[Claims: Professional, Other Providers]],TME[[#All],[Reporting Year]],2019,TME[[#All],[Insurance Category Code]],2))/ICC2_MemberMonths_2019,"NA")</f>
        <v>NA</v>
      </c>
      <c r="J95" s="143" t="str">
        <f>IFERROR(Table9111417[[#This Row],[2019]]/Table9111417[[#This Row],[2018]]-1,"NA")</f>
        <v>NA</v>
      </c>
      <c r="L95" s="64" t="s">
        <v>95</v>
      </c>
      <c r="M95" s="146" t="str">
        <f>IFERROR((SUMIFS(TME[[#All],[Claims: Professional, Other Providers]],TME[[#All],[Reporting Year]],2018,TME[[#All],[Insurance Category Code]],6))/ICC6_MemberMonths_2018,"NA")</f>
        <v>NA</v>
      </c>
      <c r="N95" s="146" t="str">
        <f>IFERROR((SUMIFS(TME[[#All],[Claims: Professional, Other Providers]],TME[[#All],[Reporting Year]],2019,TME[[#All],[Insurance Category Code]],6))/ICC6_MemberMonths_2019,"NA")</f>
        <v>NA</v>
      </c>
      <c r="O95" s="143" t="str">
        <f>IFERROR(Table911121518[[#This Row],[2019]]/Table911121518[[#This Row],[2018]]-1,"NA")</f>
        <v>NA</v>
      </c>
    </row>
    <row r="96" spans="2:15" x14ac:dyDescent="0.35">
      <c r="B96" s="64" t="s">
        <v>96</v>
      </c>
      <c r="C96" s="146" t="str">
        <f t="shared" si="4"/>
        <v>NA</v>
      </c>
      <c r="D96" s="146" t="str">
        <f t="shared" si="5"/>
        <v>NA</v>
      </c>
      <c r="E96" s="143" t="str">
        <f>IFERROR(Table91316[[#This Row],[2019]]/Table91316[[#This Row],[2018]]-1,"NA")</f>
        <v>NA</v>
      </c>
      <c r="G96" s="64" t="s">
        <v>96</v>
      </c>
      <c r="H96" s="146" t="str">
        <f>IFERROR((SUMIFS(TME[[#All],[Claims: Long-Term Care]],TME[[#All],[Reporting Year]],2018,TME[[#All],[Insurance Category Code]],2))/ICC2_MemberMonths_2018,"NA")</f>
        <v>NA</v>
      </c>
      <c r="I96" s="146" t="str">
        <f>IFERROR((SUMIFS(TME[[#All],[Claims: Long-Term Care]],TME[[#All],[Reporting Year]],2019,TME[[#All],[Insurance Category Code]],2))/ICC2_MemberMonths_2019,"NA")</f>
        <v>NA</v>
      </c>
      <c r="J96" s="143" t="str">
        <f>IFERROR(Table9111417[[#This Row],[2019]]/Table9111417[[#This Row],[2018]]-1,"NA")</f>
        <v>NA</v>
      </c>
      <c r="L96" s="64" t="s">
        <v>96</v>
      </c>
      <c r="M96" s="146" t="str">
        <f>IFERROR((SUMIFS(TME[[#All],[Claims: Long-Term Care]],TME[[#All],[Reporting Year]],2018,TME[[#All],[Insurance Category Code]],6))/ICC6_MemberMonths_2018,"NA")</f>
        <v>NA</v>
      </c>
      <c r="N96" s="146" t="str">
        <f>IFERROR((SUMIFS(TME[[#All],[Claims: Long-Term Care]],TME[[#All],[Reporting Year]],2019,TME[[#All],[Insurance Category Code]],6))/ICC6_MemberMonths_2019,"NA")</f>
        <v>NA</v>
      </c>
      <c r="O96" s="143" t="str">
        <f>IFERROR(Table911121518[[#This Row],[2019]]/Table911121518[[#This Row],[2018]]-1,"NA")</f>
        <v>NA</v>
      </c>
    </row>
    <row r="97" spans="2:15" x14ac:dyDescent="0.35">
      <c r="B97" s="64" t="s">
        <v>229</v>
      </c>
      <c r="C97" s="146" t="str">
        <f t="shared" si="4"/>
        <v>NA</v>
      </c>
      <c r="D97" s="146" t="str">
        <f t="shared" si="5"/>
        <v>NA</v>
      </c>
      <c r="E97" s="143" t="str">
        <f>IFERROR(Table91316[[#This Row],[2019]]/Table91316[[#This Row],[2018]]-1,"NA")</f>
        <v>NA</v>
      </c>
      <c r="G97" s="64" t="s">
        <v>229</v>
      </c>
      <c r="H97" s="146" t="str">
        <f>IFERROR((SUMIFS(TME[[#All],[Claims: Retail Pharmacy]],TME[[#All],[Reporting Year]],2018,TME[[#All],[Insurance Category Code]],2))/ICC2_MemberMonths_2018,"NA")</f>
        <v>NA</v>
      </c>
      <c r="I97" s="146" t="str">
        <f>IFERROR((SUMIFS(TME[[#All],[Claims: Retail Pharmacy]],TME[[#All],[Reporting Year]],2019,TME[[#All],[Insurance Category Code]],2))/ICC2_MemberMonths_2019,"NA")</f>
        <v>NA</v>
      </c>
      <c r="J97" s="143" t="str">
        <f>IFERROR(Table9111417[[#This Row],[2019]]/Table9111417[[#This Row],[2018]]-1,"NA")</f>
        <v>NA</v>
      </c>
      <c r="L97" s="64" t="s">
        <v>229</v>
      </c>
      <c r="M97" s="146" t="str">
        <f>IFERROR((SUMIFS(TME[[#All],[Claims: Retail Pharmacy]],TME[[#All],[Reporting Year]],2018,TME[[#All],[Insurance Category Code]],6))/ICC6_MemberMonths_2018,"NA")</f>
        <v>NA</v>
      </c>
      <c r="N97" s="146" t="str">
        <f>IFERROR((SUMIFS(TME[[#All],[Claims: Retail Pharmacy]],TME[[#All],[Reporting Year]],2019,TME[[#All],[Insurance Category Code]],6))/ICC6_MemberMonths_2019,"NA")</f>
        <v>NA</v>
      </c>
      <c r="O97" s="143" t="str">
        <f>IFERROR(Table911121518[[#This Row],[2019]]/Table911121518[[#This Row],[2018]]-1,"NA")</f>
        <v>NA</v>
      </c>
    </row>
    <row r="98" spans="2:15" x14ac:dyDescent="0.35">
      <c r="B98" s="82" t="s">
        <v>230</v>
      </c>
      <c r="C98" s="146" t="str">
        <f t="shared" si="4"/>
        <v>NA</v>
      </c>
      <c r="D98" s="146" t="str">
        <f t="shared" si="5"/>
        <v>NA</v>
      </c>
      <c r="E98" s="143" t="str">
        <f>IFERROR(Table91316[[#This Row],[2019]]/Table91316[[#This Row],[2018]]-1,"NA")</f>
        <v>NA</v>
      </c>
      <c r="G98" s="82" t="s">
        <v>230</v>
      </c>
      <c r="H98" s="146" t="str">
        <f>IFERROR((SUMIFS(TME[[#All],[Claims: Retail Pharmacy]],TME[[#All],[Reporting Year]],2018,TME[[#All],[Insurance Category Code]],2))-ABS(SUMIFS(RX_REBATE[[#All],[Total Pharmacy Rebate Amount]],RX_REBATE[[#All],[Reporting Year]],2018,RX_REBATE[[#All],[Insurance Category Code]],2))/ICC2_MemberMonths_2018,"NA")</f>
        <v>NA</v>
      </c>
      <c r="I98" s="146" t="str">
        <f>IFERROR((SUMIFS(TME[[#All],[Claims: Retail Pharmacy]],TME[[#All],[Reporting Year]],2019,TME[[#All],[Insurance Category Code]],2))-ABS(SUMIFS(RX_REBATE[[#All],[Total Pharmacy Rebate Amount]],RX_REBATE[[#All],[Reporting Year]],2019,RX_REBATE[[#All],[Insurance Category Code]],2))/ICC2_MemberMonths_2019,"NA")</f>
        <v>NA</v>
      </c>
      <c r="J98" s="143" t="str">
        <f>IFERROR(Table9111417[[#This Row],[2019]]/Table9111417[[#This Row],[2018]]-1,"NA")</f>
        <v>NA</v>
      </c>
      <c r="L98" s="82" t="s">
        <v>230</v>
      </c>
      <c r="M98" s="146" t="str">
        <f>IFERROR((SUMIFS(TME[[#All],[Claims: Retail Pharmacy]],TME[[#All],[Reporting Year]],2018,TME[[#All],[Insurance Category Code]],6))-ABS(SUMIFS(RX_REBATE[[#All],[Total Pharmacy Rebate Amount]],RX_REBATE[[#All],[Reporting Year]],2018,RX_REBATE[[#All],[Insurance Category Code]],6))/ICC6_MemberMonths_2018,"NA")</f>
        <v>NA</v>
      </c>
      <c r="N98" s="146" t="str">
        <f>IFERROR((SUMIFS(TME[[#All],[Claims: Retail Pharmacy]],TME[[#All],[Reporting Year]],2019,TME[[#All],[Insurance Category Code]],6))-ABS(SUMIFS(RX_REBATE[[#All],[Total Pharmacy Rebate Amount]],RX_REBATE[[#All],[Reporting Year]],2019,RX_REBATE[[#All],[Insurance Category Code]],6))/ICC6_MemberMonths_2019,"NA")</f>
        <v>NA</v>
      </c>
      <c r="O98" s="143" t="str">
        <f>IFERROR(Table911121518[[#This Row],[2019]]/Table911121518[[#This Row],[2018]]-1,"NA")</f>
        <v>NA</v>
      </c>
    </row>
    <row r="99" spans="2:15" x14ac:dyDescent="0.35">
      <c r="B99" s="82" t="s">
        <v>231</v>
      </c>
      <c r="C99" s="146" t="str">
        <f t="shared" si="4"/>
        <v>NA</v>
      </c>
      <c r="D99" s="146" t="str">
        <f t="shared" si="5"/>
        <v>NA</v>
      </c>
      <c r="E99" s="143" t="str">
        <f>IFERROR(Table91316[[#This Row],[2019]]/Table91316[[#This Row],[2018]]-1,"NA")</f>
        <v>NA</v>
      </c>
      <c r="G99" s="82" t="s">
        <v>231</v>
      </c>
      <c r="H99" s="146" t="str">
        <f>IFERROR(-ABS(SUMIFS(RX_REBATE[[#All],[Total Pharmacy Rebate Amount]],RX_REBATE[[#All],[Reporting Year]],2018,RX_REBATE[[#All],[Insurance Category Code]],2))/ICC2_MemberMonths_2018,"NA")</f>
        <v>NA</v>
      </c>
      <c r="I99" s="146" t="str">
        <f>IFERROR(-ABS(SUMIFS(RX_REBATE[[#All],[Total Pharmacy Rebate Amount]],RX_REBATE[[#All],[Reporting Year]],2019,RX_REBATE[[#All],[Insurance Category Code]],2))/ICC2_MemberMonths_2019,"NA")</f>
        <v>NA</v>
      </c>
      <c r="J99" s="143" t="str">
        <f>IFERROR(Table9111417[[#This Row],[2019]]/Table9111417[[#This Row],[2018]]-1,"NA")</f>
        <v>NA</v>
      </c>
      <c r="L99" s="82" t="s">
        <v>231</v>
      </c>
      <c r="M99" s="146" t="str">
        <f>IFERROR(-ABS(SUMIFS(RX_REBATE[[#All],[Total Pharmacy Rebate Amount]],RX_REBATE[[#All],[Reporting Year]],2018,RX_REBATE[[#All],[Insurance Category Code]],6))/ICC6_MemberMonths_2018,"NA")</f>
        <v>NA</v>
      </c>
      <c r="N99" s="146" t="str">
        <f>IFERROR(-ABS(SUMIFS(RX_REBATE[[#All],[Total Pharmacy Rebate Amount]],RX_REBATE[[#All],[Reporting Year]],2019,RX_REBATE[[#All],[Insurance Category Code]],6))/ICC6_MemberMonths_2019,"NA")</f>
        <v>NA</v>
      </c>
      <c r="O99" s="143" t="str">
        <f>IFERROR(Table911121518[[#This Row],[2019]]/Table911121518[[#This Row],[2018]]-1,"NA")</f>
        <v>NA</v>
      </c>
    </row>
    <row r="100" spans="2:15" x14ac:dyDescent="0.35">
      <c r="B100" s="64" t="s">
        <v>98</v>
      </c>
      <c r="C100" s="146" t="str">
        <f t="shared" si="4"/>
        <v>NA</v>
      </c>
      <c r="D100" s="146" t="str">
        <f t="shared" si="5"/>
        <v>NA</v>
      </c>
      <c r="E100" s="143" t="str">
        <f>IFERROR(Table91316[[#This Row],[2019]]/Table91316[[#This Row],[2018]]-1,"NA")</f>
        <v>NA</v>
      </c>
      <c r="G100" s="64" t="s">
        <v>98</v>
      </c>
      <c r="H100" s="146" t="str">
        <f>IFERROR((SUMIFS(TME[[#All],[Claims: Other]],TME[[#All],[Reporting Year]],2018,TME[[#All],[Insurance Category Code]],2))/ICC2_MemberMonths_2018,"NA")</f>
        <v>NA</v>
      </c>
      <c r="I100" s="146" t="str">
        <f>IFERROR((SUMIFS(TME[[#All],[Claims: Other]],TME[[#All],[Reporting Year]],2019,TME[[#All],[Insurance Category Code]],2))/ICC2_MemberMonths_2019,"NA")</f>
        <v>NA</v>
      </c>
      <c r="J100" s="143" t="str">
        <f>IFERROR(Table9111417[[#This Row],[2019]]/Table9111417[[#This Row],[2018]]-1,"NA")</f>
        <v>NA</v>
      </c>
      <c r="L100" s="64" t="s">
        <v>98</v>
      </c>
      <c r="M100" s="146" t="str">
        <f>IFERROR((SUMIFS(TME[[#All],[Claims: Other]],TME[[#All],[Reporting Year]],2018,TME[[#All],[Insurance Category Code]],6))/ICC6_MemberMonths_2018,"NA")</f>
        <v>NA</v>
      </c>
      <c r="N100" s="146" t="str">
        <f>IFERROR((SUMIFS(TME[[#All],[Claims: Other]],TME[[#All],[Reporting Year]],2019,TME[[#All],[Insurance Category Code]],6))/ICC6_MemberMonths_2019,"NA")</f>
        <v>NA</v>
      </c>
      <c r="O100" s="143" t="str">
        <f>IFERROR(Table911121518[[#This Row],[2019]]/Table911121518[[#This Row],[2018]]-1,"NA")</f>
        <v>NA</v>
      </c>
    </row>
    <row r="101" spans="2:15" x14ac:dyDescent="0.35">
      <c r="B101" s="83" t="s">
        <v>204</v>
      </c>
      <c r="C101" s="147" t="str">
        <f t="shared" si="4"/>
        <v>NA</v>
      </c>
      <c r="D101" s="147" t="str">
        <f t="shared" si="5"/>
        <v>NA</v>
      </c>
      <c r="E101" s="144" t="str">
        <f>IFERROR(Table91316[[#This Row],[2019]]/Table91316[[#This Row],[2018]]-1,"NA")</f>
        <v>NA</v>
      </c>
      <c r="G101" s="83" t="s">
        <v>204</v>
      </c>
      <c r="H101" s="147" t="str">
        <f>IFERROR((SUMIFS(TME[[#All],[Total Non-Truncated Claims Spending]],TME[[#All],[Reporting Year]],2018,TME[[#All],[Insurance Category Code]],2))/ICC2_MemberMonths_2018,"NA")</f>
        <v>NA</v>
      </c>
      <c r="I101" s="147" t="str">
        <f>IFERROR((SUMIFS(TME[[#All],[Total Non-Truncated Claims Spending]],TME[[#All],[Reporting Year]],2019,TME[[#All],[Insurance Category Code]],2))/ICC2_MemberMonths_2019,"NA")</f>
        <v>NA</v>
      </c>
      <c r="J101" s="144" t="str">
        <f>IFERROR(Table9111417[[#This Row],[2019]]/Table9111417[[#This Row],[2018]]-1,"NA")</f>
        <v>NA</v>
      </c>
      <c r="L101" s="83" t="s">
        <v>204</v>
      </c>
      <c r="M101" s="147" t="str">
        <f>IFERROR((SUMIFS(TME[[#All],[Total Non-Truncated Claims Spending]],TME[[#All],[Reporting Year]],2018,TME[[#All],[Insurance Category Code]],6))/ICC6_MemberMonths_2018,"NA")</f>
        <v>NA</v>
      </c>
      <c r="N101" s="147" t="str">
        <f>IFERROR((SUMIFS(TME[[#All],[Total Non-Truncated Claims Spending]],TME[[#All],[Reporting Year]],2019,TME[[#All],[Insurance Category Code]],6))/ICC6_MemberMonths_2019,"NA")</f>
        <v>NA</v>
      </c>
      <c r="O101" s="144" t="str">
        <f>IFERROR(Table911121518[[#This Row],[2019]]/Table911121518[[#This Row],[2018]]-1,"NA")</f>
        <v>NA</v>
      </c>
    </row>
    <row r="102" spans="2:15" x14ac:dyDescent="0.35">
      <c r="B102" s="83" t="s">
        <v>205</v>
      </c>
      <c r="C102" s="147" t="str">
        <f t="shared" si="4"/>
        <v>NA</v>
      </c>
      <c r="D102" s="147" t="str">
        <f t="shared" si="5"/>
        <v>NA</v>
      </c>
      <c r="E102" s="144" t="str">
        <f>IFERROR(Table91316[[#This Row],[2019]]/Table91316[[#This Row],[2018]]-1,"NA")</f>
        <v>NA</v>
      </c>
      <c r="G102" s="83" t="s">
        <v>205</v>
      </c>
      <c r="H102" s="147" t="str">
        <f>IFERROR((SUMIFS(TME[[#All],[Total Truncated Claims Spending]],TME[[#All],[Reporting Year]],2018,TME[[#All],[Insurance Category Code]],2))/ICC2_MemberMonths_2018,"NA")</f>
        <v>NA</v>
      </c>
      <c r="I102" s="147" t="str">
        <f>IFERROR((SUMIFS(TME[[#All],[Total Truncated Claims Spending]],TME[[#All],[Reporting Year]],2019,TME[[#All],[Insurance Category Code]],2))/ICC2_MemberMonths_2019,"NA")</f>
        <v>NA</v>
      </c>
      <c r="J102" s="144" t="str">
        <f>IFERROR(Table9111417[[#This Row],[2019]]/Table9111417[[#This Row],[2018]]-1,"NA")</f>
        <v>NA</v>
      </c>
      <c r="L102" s="83" t="s">
        <v>205</v>
      </c>
      <c r="M102" s="147" t="str">
        <f>IFERROR((SUMIFS(TME[[#All],[Total Truncated Claims Spending]],TME[[#All],[Reporting Year]],2018,TME[[#All],[Insurance Category Code]],6))/ICC6_MemberMonths_2018,"NA")</f>
        <v>NA</v>
      </c>
      <c r="N102" s="147" t="str">
        <f>IFERROR((SUMIFS(TME[[#All],[Total Truncated Claims Spending]],TME[[#All],[Reporting Year]],2019,TME[[#All],[Insurance Category Code]],6))/ICC6_MemberMonths_2019,"NA")</f>
        <v>NA</v>
      </c>
      <c r="O102" s="144" t="str">
        <f>IFERROR(Table911121518[[#This Row],[2019]]/Table911121518[[#This Row],[2018]]-1,"NA")</f>
        <v>NA</v>
      </c>
    </row>
    <row r="103" spans="2:15" x14ac:dyDescent="0.35">
      <c r="B103" s="64" t="s">
        <v>99</v>
      </c>
      <c r="C103" s="146" t="str">
        <f t="shared" si="4"/>
        <v>NA</v>
      </c>
      <c r="D103" s="146" t="str">
        <f t="shared" si="5"/>
        <v>NA</v>
      </c>
      <c r="E103" s="143" t="str">
        <f>IFERROR(Table91316[[#This Row],[2019]]/Table91316[[#This Row],[2018]]-1,"NA")</f>
        <v>NA</v>
      </c>
      <c r="G103" s="64" t="s">
        <v>99</v>
      </c>
      <c r="H103" s="146" t="str">
        <f>IFERROR((SUMIFS(TME[[#All],[Non-Claims: Capitation or Bundled Pmts]],TME[[#All],[Reporting Year]],2018,TME[[#All],[Insurance Category Code]],2))/ICC2_MemberMonths_2018,"NA")</f>
        <v>NA</v>
      </c>
      <c r="I103" s="146" t="str">
        <f>IFERROR((SUMIFS(TME[[#All],[Non-Claims: Capitation or Bundled Pmts]],TME[[#All],[Reporting Year]],2019,TME[[#All],[Insurance Category Code]],2))/ICC2_MemberMonths_2019,"NA")</f>
        <v>NA</v>
      </c>
      <c r="J103" s="143" t="str">
        <f>IFERROR(Table9111417[[#This Row],[2019]]/Table9111417[[#This Row],[2018]]-1,"NA")</f>
        <v>NA</v>
      </c>
      <c r="L103" s="64" t="s">
        <v>99</v>
      </c>
      <c r="M103" s="146" t="str">
        <f>IFERROR((SUMIFS(TME[[#All],[Non-Claims: Capitation or Bundled Pmts]],TME[[#All],[Reporting Year]],2018,TME[[#All],[Insurance Category Code]],6))/ICC6_MemberMonths_2018,"NA")</f>
        <v>NA</v>
      </c>
      <c r="N103" s="146" t="str">
        <f>IFERROR((SUMIFS(TME[[#All],[Non-Claims: Capitation or Bundled Pmts]],TME[[#All],[Reporting Year]],2019,TME[[#All],[Insurance Category Code]],6))/ICC6_MemberMonths_2019,"NA")</f>
        <v>NA</v>
      </c>
      <c r="O103" s="143" t="str">
        <f>IFERROR(Table911121518[[#This Row],[2019]]/Table911121518[[#This Row],[2018]]-1,"NA")</f>
        <v>NA</v>
      </c>
    </row>
    <row r="104" spans="2:15" x14ac:dyDescent="0.35">
      <c r="B104" s="64" t="s">
        <v>100</v>
      </c>
      <c r="C104" s="146" t="str">
        <f t="shared" si="4"/>
        <v>NA</v>
      </c>
      <c r="D104" s="146" t="str">
        <f t="shared" si="5"/>
        <v>NA</v>
      </c>
      <c r="E104" s="143" t="str">
        <f>IFERROR(Table91316[[#This Row],[2019]]/Table91316[[#This Row],[2018]]-1,"NA")</f>
        <v>NA</v>
      </c>
      <c r="G104" s="64" t="s">
        <v>100</v>
      </c>
      <c r="H104" s="146" t="str">
        <f>IFERROR((SUMIFS(TME[[#All],[Non-Claims: Performance Incentive Pmts]],TME[[#All],[Reporting Year]],2018,TME[[#All],[Insurance Category Code]],2))/ICC2_MemberMonths_2018,"NA")</f>
        <v>NA</v>
      </c>
      <c r="I104" s="146" t="str">
        <f>IFERROR((SUMIFS(TME[[#All],[Non-Claims: Performance Incentive Pmts]],TME[[#All],[Reporting Year]],2019,TME[[#All],[Insurance Category Code]],2))/ICC2_MemberMonths_2019,"NA")</f>
        <v>NA</v>
      </c>
      <c r="J104" s="143" t="str">
        <f>IFERROR(Table9111417[[#This Row],[2019]]/Table9111417[[#This Row],[2018]]-1,"NA")</f>
        <v>NA</v>
      </c>
      <c r="L104" s="64" t="s">
        <v>100</v>
      </c>
      <c r="M104" s="146" t="str">
        <f>IFERROR((SUMIFS(TME[[#All],[Non-Claims: Performance Incentive Pmts]],TME[[#All],[Reporting Year]],2018,TME[[#All],[Insurance Category Code]],6))/ICC6_MemberMonths_2018,"NA")</f>
        <v>NA</v>
      </c>
      <c r="N104" s="146" t="str">
        <f>IFERROR((SUMIFS(TME[[#All],[Non-Claims: Performance Incentive Pmts]],TME[[#All],[Reporting Year]],2019,TME[[#All],[Insurance Category Code]],6))/ICC6_MemberMonths_2019,"NA")</f>
        <v>NA</v>
      </c>
      <c r="O104" s="143" t="str">
        <f>IFERROR(Table911121518[[#This Row],[2019]]/Table911121518[[#This Row],[2018]]-1,"NA")</f>
        <v>NA</v>
      </c>
    </row>
    <row r="105" spans="2:15" x14ac:dyDescent="0.35">
      <c r="B105" s="64" t="s">
        <v>101</v>
      </c>
      <c r="C105" s="146" t="str">
        <f t="shared" si="4"/>
        <v>NA</v>
      </c>
      <c r="D105" s="146" t="str">
        <f t="shared" si="5"/>
        <v>NA</v>
      </c>
      <c r="E105" s="143" t="str">
        <f>IFERROR(Table91316[[#This Row],[2019]]/Table91316[[#This Row],[2018]]-1,"NA")</f>
        <v>NA</v>
      </c>
      <c r="G105" s="64" t="s">
        <v>101</v>
      </c>
      <c r="H105" s="146" t="str">
        <f>IFERROR((SUMIFS(TME[[#All],[Non-Claims: Pop Health and Practice Infrastructure Pmts]],TME[[#All],[Reporting Year]],2018,TME[[#All],[Insurance Category Code]],2))/ICC2_MemberMonths_2018,"NA")</f>
        <v>NA</v>
      </c>
      <c r="I105" s="146" t="str">
        <f>IFERROR((SUMIFS(TME[[#All],[Non-Claims: Pop Health and Practice Infrastructure Pmts]],TME[[#All],[Reporting Year]],2019,TME[[#All],[Insurance Category Code]],2))/ICC2_MemberMonths_2019,"NA")</f>
        <v>NA</v>
      </c>
      <c r="J105" s="143" t="str">
        <f>IFERROR(Table9111417[[#This Row],[2019]]/Table9111417[[#This Row],[2018]]-1,"NA")</f>
        <v>NA</v>
      </c>
      <c r="L105" s="64" t="s">
        <v>101</v>
      </c>
      <c r="M105" s="146" t="str">
        <f>IFERROR((SUMIFS(TME[[#All],[Non-Claims: Pop Health and Practice Infrastructure Pmts]],TME[[#All],[Reporting Year]],2018,TME[[#All],[Insurance Category Code]],6))/ICC6_MemberMonths_2018,"NA")</f>
        <v>NA</v>
      </c>
      <c r="N105" s="146" t="str">
        <f>IFERROR((SUMIFS(TME[[#All],[Non-Claims: Pop Health and Practice Infrastructure Pmts]],TME[[#All],[Reporting Year]],2019,TME[[#All],[Insurance Category Code]],6))/ICC6_MemberMonths_2019,"NA")</f>
        <v>NA</v>
      </c>
      <c r="O105" s="143" t="str">
        <f>IFERROR(Table911121518[[#This Row],[2019]]/Table911121518[[#This Row],[2018]]-1,"NA")</f>
        <v>NA</v>
      </c>
    </row>
    <row r="106" spans="2:15" x14ac:dyDescent="0.35">
      <c r="B106" s="64" t="s">
        <v>102</v>
      </c>
      <c r="C106" s="146" t="str">
        <f t="shared" si="4"/>
        <v>NA</v>
      </c>
      <c r="D106" s="146" t="str">
        <f t="shared" si="5"/>
        <v>NA</v>
      </c>
      <c r="E106" s="143" t="str">
        <f>IFERROR(Table91316[[#This Row],[2019]]/Table91316[[#This Row],[2018]]-1,"NA")</f>
        <v>NA</v>
      </c>
      <c r="G106" s="64" t="s">
        <v>102</v>
      </c>
      <c r="H106" s="146" t="str">
        <f>IFERROR((SUMIFS(TME[[#All],[Non-Claims: Provider Salaries]],TME[[#All],[Reporting Year]],2018,TME[[#All],[Insurance Category Code]],2))/ICC2_MemberMonths_2018,"NA")</f>
        <v>NA</v>
      </c>
      <c r="I106" s="146" t="str">
        <f>IFERROR((SUMIFS(TME[[#All],[Non-Claims: Provider Salaries]],TME[[#All],[Reporting Year]],2019,TME[[#All],[Insurance Category Code]],2))/ICC2_MemberMonths_2019,"NA")</f>
        <v>NA</v>
      </c>
      <c r="J106" s="143" t="str">
        <f>IFERROR(Table9111417[[#This Row],[2019]]/Table9111417[[#This Row],[2018]]-1,"NA")</f>
        <v>NA</v>
      </c>
      <c r="L106" s="64" t="s">
        <v>102</v>
      </c>
      <c r="M106" s="146" t="str">
        <f>IFERROR((SUMIFS(TME[[#All],[Non-Claims: Provider Salaries]],TME[[#All],[Reporting Year]],2018,TME[[#All],[Insurance Category Code]],6))/ICC6_MemberMonths_2018,"NA")</f>
        <v>NA</v>
      </c>
      <c r="N106" s="146" t="str">
        <f>IFERROR((SUMIFS(TME[[#All],[Non-Claims: Provider Salaries]],TME[[#All],[Reporting Year]],2019,TME[[#All],[Insurance Category Code]],6))/ICC6_MemberMonths_2019,"NA")</f>
        <v>NA</v>
      </c>
      <c r="O106" s="143" t="str">
        <f>IFERROR(Table911121518[[#This Row],[2019]]/Table911121518[[#This Row],[2018]]-1,"NA")</f>
        <v>NA</v>
      </c>
    </row>
    <row r="107" spans="2:15" x14ac:dyDescent="0.35">
      <c r="B107" s="64" t="s">
        <v>103</v>
      </c>
      <c r="C107" s="146" t="str">
        <f t="shared" si="4"/>
        <v>NA</v>
      </c>
      <c r="D107" s="146" t="str">
        <f t="shared" si="5"/>
        <v>NA</v>
      </c>
      <c r="E107" s="143" t="str">
        <f>IFERROR(Table91316[[#This Row],[2019]]/Table91316[[#This Row],[2018]]-1,"NA")</f>
        <v>NA</v>
      </c>
      <c r="G107" s="64" t="s">
        <v>103</v>
      </c>
      <c r="H107" s="146" t="str">
        <f>IFERROR((SUMIFS(TME[[#All],[Non-Claims: Recovery]],TME[[#All],[Reporting Year]],2018,TME[[#All],[Insurance Category Code]],2))/ICC2_MemberMonths_2018,"NA")</f>
        <v>NA</v>
      </c>
      <c r="I107" s="146" t="str">
        <f>IFERROR((SUMIFS(TME[[#All],[Non-Claims: Recovery]],TME[[#All],[Reporting Year]],2019,TME[[#All],[Insurance Category Code]],2))/ICC2_MemberMonths_2019,"NA")</f>
        <v>NA</v>
      </c>
      <c r="J107" s="143" t="str">
        <f>IFERROR(Table9111417[[#This Row],[2019]]/Table9111417[[#This Row],[2018]]-1,"NA")</f>
        <v>NA</v>
      </c>
      <c r="L107" s="64" t="s">
        <v>103</v>
      </c>
      <c r="M107" s="146" t="str">
        <f>IFERROR((SUMIFS(TME[[#All],[Non-Claims: Recovery]],TME[[#All],[Reporting Year]],2018,TME[[#All],[Insurance Category Code]],6))/ICC6_MemberMonths_2018,"NA")</f>
        <v>NA</v>
      </c>
      <c r="N107" s="146" t="str">
        <f>IFERROR((SUMIFS(TME[[#All],[Non-Claims: Recovery]],TME[[#All],[Reporting Year]],2019,TME[[#All],[Insurance Category Code]],6))/ICC6_MemberMonths_2019,"NA")</f>
        <v>NA</v>
      </c>
      <c r="O107" s="143" t="str">
        <f>IFERROR(Table911121518[[#This Row],[2019]]/Table911121518[[#This Row],[2018]]-1,"NA")</f>
        <v>NA</v>
      </c>
    </row>
    <row r="108" spans="2:15" x14ac:dyDescent="0.35">
      <c r="B108" s="64" t="s">
        <v>104</v>
      </c>
      <c r="C108" s="146" t="str">
        <f t="shared" si="4"/>
        <v>NA</v>
      </c>
      <c r="D108" s="146" t="str">
        <f t="shared" si="5"/>
        <v>NA</v>
      </c>
      <c r="E108" s="143" t="str">
        <f>IFERROR(Table91316[[#This Row],[2019]]/Table91316[[#This Row],[2018]]-1,"NA")</f>
        <v>NA</v>
      </c>
      <c r="G108" s="64" t="s">
        <v>104</v>
      </c>
      <c r="H108" s="146" t="str">
        <f>IFERROR((SUMIFS(TME[[#All],[Non-Claims: Other]],TME[[#All],[Reporting Year]],2018,TME[[#All],[Insurance Category Code]],2))/ICC2_MemberMonths_2018,"NA")</f>
        <v>NA</v>
      </c>
      <c r="I108" s="146" t="str">
        <f>IFERROR((SUMIFS(TME[[#All],[Non-Claims: Other]],TME[[#All],[Reporting Year]],2019,TME[[#All],[Insurance Category Code]],2))/ICC2_MemberMonths_2019,"NA")</f>
        <v>NA</v>
      </c>
      <c r="J108" s="143" t="str">
        <f>IFERROR(Table9111417[[#This Row],[2019]]/Table9111417[[#This Row],[2018]]-1,"NA")</f>
        <v>NA</v>
      </c>
      <c r="L108" s="64" t="s">
        <v>104</v>
      </c>
      <c r="M108" s="146" t="str">
        <f>IFERROR((SUMIFS(TME[[#All],[Non-Claims: Other]],TME[[#All],[Reporting Year]],2018,TME[[#All],[Insurance Category Code]],6))/ICC6_MemberMonths_2018,"NA")</f>
        <v>NA</v>
      </c>
      <c r="N108" s="146" t="str">
        <f>IFERROR((SUMIFS(TME[[#All],[Non-Claims: Other]],TME[[#All],[Reporting Year]],2019,TME[[#All],[Insurance Category Code]],6))/ICC6_MemberMonths_2019,"NA")</f>
        <v>NA</v>
      </c>
      <c r="O108" s="143" t="str">
        <f>IFERROR(Table911121518[[#This Row],[2019]]/Table911121518[[#This Row],[2018]]-1,"NA")</f>
        <v>NA</v>
      </c>
    </row>
    <row r="109" spans="2:15" x14ac:dyDescent="0.35">
      <c r="B109" s="64" t="s">
        <v>266</v>
      </c>
      <c r="C109" s="146" t="str">
        <f t="shared" si="4"/>
        <v>NA</v>
      </c>
      <c r="D109" s="146" t="str">
        <f t="shared" si="5"/>
        <v>NA</v>
      </c>
      <c r="E109" s="143" t="str">
        <f>IFERROR(Table91316[[#This Row],[2019]]/Table91316[[#This Row],[2018]]-1,"NA")</f>
        <v>NA</v>
      </c>
      <c r="G109" s="64" t="s">
        <v>266</v>
      </c>
      <c r="H109" s="146" t="str">
        <f>IFERROR((SUMIFS(TME[[#All],[Non-Claims: Total Primary Care Non-Claims-Based Payments]],TME[[#All],[Reporting Year]],2018,TME[[#All],[Insurance Category Code]],2))/ICC2_MemberMonths_2018,"NA")</f>
        <v>NA</v>
      </c>
      <c r="I109" s="146" t="str">
        <f>IFERROR((SUMIFS(TME[[#All],[Non-Claims: Total Primary Care Non-Claims-Based Payments]],TME[[#All],[Reporting Year]],2019,TME[[#All],[Insurance Category Code]],2))/ICC2_MemberMonths_2019,"NA")</f>
        <v>NA</v>
      </c>
      <c r="J109" s="143" t="str">
        <f>IFERROR(Table9111417[[#This Row],[2019]]/Table9111417[[#This Row],[2018]]-1,"NA")</f>
        <v>NA</v>
      </c>
      <c r="L109" s="64" t="s">
        <v>266</v>
      </c>
      <c r="M109" s="146" t="str">
        <f>IFERROR((SUMIFS(TME[[#All],[Non-Claims: Total Primary Care Non-Claims-Based Payments]],TME[[#All],[Reporting Year]],2018,TME[[#All],[Insurance Category Code]],6))/ICC6_MemberMonths_2018,"NA")</f>
        <v>NA</v>
      </c>
      <c r="N109" s="146" t="str">
        <f>IFERROR((SUMIFS(TME[[#All],[Non-Claims: Total Primary Care Non-Claims-Based Payments]],TME[[#All],[Reporting Year]],2019,TME[[#All],[Insurance Category Code]],6))/ICC6_MemberMonths_2019,"NA")</f>
        <v>NA</v>
      </c>
      <c r="O109" s="143" t="str">
        <f>IFERROR(Table911121518[[#This Row],[2019]]/Table911121518[[#This Row],[2018]]-1,"NA")</f>
        <v>NA</v>
      </c>
    </row>
    <row r="110" spans="2:15" x14ac:dyDescent="0.35">
      <c r="B110" s="83" t="s">
        <v>232</v>
      </c>
      <c r="C110" s="147" t="str">
        <f t="shared" si="4"/>
        <v>NA</v>
      </c>
      <c r="D110" s="147" t="str">
        <f t="shared" si="5"/>
        <v>NA</v>
      </c>
      <c r="E110" s="143" t="str">
        <f>IFERROR(Table91316[[#This Row],[2019]]/Table91316[[#This Row],[2018]]-1,"NA")</f>
        <v>NA</v>
      </c>
      <c r="G110" s="83" t="s">
        <v>232</v>
      </c>
      <c r="H110" s="147" t="str">
        <f>IFERROR((SUMIFS(TME[[#All],[Total Non-Claims Spending]],TME[[#All],[Reporting Year]],2018,TME[[#All],[Insurance Category Code]],2))/ICC2_MemberMonths_2018,"NA")</f>
        <v>NA</v>
      </c>
      <c r="I110" s="147" t="str">
        <f>IFERROR((SUMIFS(TME[[#All],[Total Non-Claims Spending]],TME[[#All],[Reporting Year]],2019,TME[[#All],[Insurance Category Code]],2))/ICC2_MemberMonths_2019,"NA")</f>
        <v>NA</v>
      </c>
      <c r="J110" s="143" t="str">
        <f>IFERROR(Table9111417[[#This Row],[2019]]/Table9111417[[#This Row],[2018]]-1,"NA")</f>
        <v>NA</v>
      </c>
      <c r="L110" s="83" t="s">
        <v>232</v>
      </c>
      <c r="M110" s="147" t="str">
        <f>IFERROR((SUMIFS(TME[[#All],[Total Non-Claims Spending]],TME[[#All],[Reporting Year]],2018,TME[[#All],[Insurance Category Code]],6))/ICC6_MemberMonths_2018,"NA")</f>
        <v>NA</v>
      </c>
      <c r="N110" s="147" t="str">
        <f>IFERROR((SUMIFS(TME[[#All],[Total Non-Claims Spending]],TME[[#All],[Reporting Year]],2019,TME[[#All],[Insurance Category Code]],6))/ICC6_MemberMonths_2019,"NA")</f>
        <v>NA</v>
      </c>
      <c r="O110" s="143" t="str">
        <f>IFERROR(Table911121518[[#This Row],[2019]]/Table911121518[[#This Row],[2018]]-1,"NA")</f>
        <v>NA</v>
      </c>
    </row>
    <row r="111" spans="2:15" x14ac:dyDescent="0.35">
      <c r="B111" s="84" t="s">
        <v>233</v>
      </c>
      <c r="C111" s="148" t="str">
        <f t="shared" si="4"/>
        <v>NA</v>
      </c>
      <c r="D111" s="148" t="str">
        <f t="shared" si="5"/>
        <v>NA</v>
      </c>
      <c r="E111" s="145" t="str">
        <f>IFERROR(Table91316[[#This Row],[2019]]/Table91316[[#This Row],[2018]]-1,"NA")</f>
        <v>NA</v>
      </c>
      <c r="G111" s="84" t="s">
        <v>233</v>
      </c>
      <c r="H111" s="148" t="str">
        <f>IFERROR((SUMIFS(TME[[#All],[Total Non-Truncated Claims and Non-Claims Spending]],TME[[#All],[Reporting Year]],2018,TME[[#All],[Insurance Category Code]],2))/ICC2_MemberMonths_2018,"NA")</f>
        <v>NA</v>
      </c>
      <c r="I111" s="148" t="str">
        <f>IFERROR((SUMIFS(TME[[#All],[Total Non-Truncated Claims and Non-Claims Spending]],TME[[#All],[Reporting Year]],2019,TME[[#All],[Insurance Category Code]],2))/ICC2_MemberMonths_2019,"NA")</f>
        <v>NA</v>
      </c>
      <c r="J111" s="145" t="str">
        <f>IFERROR(Table9111417[[#This Row],[2019]]/Table9111417[[#This Row],[2018]]-1,"NA")</f>
        <v>NA</v>
      </c>
      <c r="L111" s="84" t="s">
        <v>233</v>
      </c>
      <c r="M111" s="148" t="str">
        <f>IFERROR((SUMIFS(TME[[#All],[Total Non-Truncated Claims and Non-Claims Spending]],TME[[#All],[Reporting Year]],2018,TME[[#All],[Insurance Category Code]],6))/ICC6_MemberMonths_2018,"NA")</f>
        <v>NA</v>
      </c>
      <c r="N111" s="148" t="str">
        <f>IFERROR((SUMIFS(TME[[#All],[Total Non-Truncated Claims and Non-Claims Spending]],TME[[#All],[Reporting Year]],2019,TME[[#All],[Insurance Category Code]],6))/ICC6_MemberMonths_2019,"NA")</f>
        <v>NA</v>
      </c>
      <c r="O111" s="145" t="str">
        <f>IFERROR(Table911121518[[#This Row],[2019]]/Table911121518[[#This Row],[2018]]-1,"NA")</f>
        <v>NA</v>
      </c>
    </row>
    <row r="112" spans="2:15" x14ac:dyDescent="0.35">
      <c r="B112" s="85" t="s">
        <v>234</v>
      </c>
      <c r="C112" s="148" t="str">
        <f t="shared" si="4"/>
        <v>NA</v>
      </c>
      <c r="D112" s="148" t="str">
        <f t="shared" si="5"/>
        <v>NA</v>
      </c>
      <c r="E112" s="145" t="str">
        <f>IFERROR(Table91316[[#This Row],[2019]]/Table91316[[#This Row],[2018]]-1,"NA")</f>
        <v>NA</v>
      </c>
      <c r="G112" s="85" t="s">
        <v>234</v>
      </c>
      <c r="H112" s="148" t="str">
        <f>IFERROR((SUMIFS(TME[[#All],[Truncated Total Expenses (Total Truncated Claims Expenses + Non-Claims Expenses)]],TME[[#All],[Reporting Year]],2018,TME[[#All],[Insurance Category Code]],2))/ICC2_MemberMonths_2018,"NA")</f>
        <v>NA</v>
      </c>
      <c r="I112" s="148" t="str">
        <f>IFERROR((SUMIFS(TME[[#All],[Truncated Total Expenses (Total Truncated Claims Expenses + Non-Claims Expenses)]],TME[[#All],[Reporting Year]],2019,TME[[#All],[Insurance Category Code]],2))/ICC2_MemberMonths_2019,"NA")</f>
        <v>NA</v>
      </c>
      <c r="J112" s="145" t="str">
        <f>IFERROR(Table9111417[[#This Row],[2019]]/Table9111417[[#This Row],[2018]]-1,"NA")</f>
        <v>NA</v>
      </c>
      <c r="L112" s="85" t="s">
        <v>234</v>
      </c>
      <c r="M112" s="148" t="str">
        <f>IFERROR((SUMIFS(TME[[#All],[Truncated Total Expenses (Total Truncated Claims Expenses + Non-Claims Expenses)]],TME[[#All],[Reporting Year]],2018,TME[[#All],[Insurance Category Code]],6))/ICC6_MemberMonths_2018,"NA")</f>
        <v>NA</v>
      </c>
      <c r="N112" s="148" t="str">
        <f>IFERROR((SUMIFS(TME[[#All],[Truncated Total Expenses (Total Truncated Claims Expenses + Non-Claims Expenses)]],TME[[#All],[Reporting Year]],2019,TME[[#All],[Insurance Category Code]],6))/ICC6_MemberMonths_2019,"NA")</f>
        <v>NA</v>
      </c>
      <c r="O112" s="145" t="str">
        <f>IFERROR(Table911121518[[#This Row],[2019]]/Table911121518[[#This Row],[2018]]-1,"NA")</f>
        <v>NA</v>
      </c>
    </row>
    <row r="114" spans="2:17" ht="21" x14ac:dyDescent="0.35">
      <c r="B114" s="122" t="s">
        <v>282</v>
      </c>
      <c r="C114" s="109"/>
      <c r="D114" s="109"/>
      <c r="E114" s="109"/>
      <c r="F114" s="109"/>
      <c r="G114" s="109"/>
      <c r="H114" s="109"/>
      <c r="I114" s="109"/>
      <c r="J114" s="109"/>
      <c r="K114" s="109"/>
      <c r="L114" s="109"/>
      <c r="M114" s="109"/>
      <c r="N114" s="109"/>
      <c r="O114" s="109"/>
      <c r="P114" s="109"/>
      <c r="Q114" s="109"/>
    </row>
    <row r="116" spans="2:17" x14ac:dyDescent="0.35">
      <c r="B116" s="71" t="s">
        <v>308</v>
      </c>
    </row>
    <row r="117" spans="2:17" x14ac:dyDescent="0.35">
      <c r="B117" s="86" t="s">
        <v>210</v>
      </c>
      <c r="C117" s="87" t="s">
        <v>212</v>
      </c>
      <c r="D117" s="87" t="s">
        <v>283</v>
      </c>
      <c r="E117" s="88" t="s">
        <v>213</v>
      </c>
    </row>
    <row r="118" spans="2:17" x14ac:dyDescent="0.35">
      <c r="B118" s="64" t="s">
        <v>214</v>
      </c>
      <c r="C118" s="91">
        <f>SUM(C119:C120)</f>
        <v>0</v>
      </c>
      <c r="D118" s="91">
        <f>SUM(D119:D120)</f>
        <v>0</v>
      </c>
      <c r="E118" s="143" t="str">
        <f>IFERROR(Table19[[#This Row],[2020]]/Table19[[#This Row],[2019]]-1,"NA")</f>
        <v>NA</v>
      </c>
    </row>
    <row r="119" spans="2:17" x14ac:dyDescent="0.35">
      <c r="B119" s="82" t="s">
        <v>215</v>
      </c>
      <c r="C119" s="91">
        <f>SUMIFS(TME[[#All],[Member Months]],TME[[#All],[Reporting Year]],Table19[[#Headers],[2019]],TME[[#All],[Insurance Category Code]],3)</f>
        <v>0</v>
      </c>
      <c r="D119" s="91">
        <f>SUMIFS(TME[[#All],[Member Months]],TME[[#All],[Reporting Year]],Table19[[#Headers],[2020]],TME[[#All],[Insurance Category Code]],3)</f>
        <v>0</v>
      </c>
      <c r="E119" s="143" t="str">
        <f>IFERROR(Table19[[#This Row],[2020]]/Table19[[#This Row],[2019]]-1,"NA")</f>
        <v>NA</v>
      </c>
    </row>
    <row r="120" spans="2:17" x14ac:dyDescent="0.35">
      <c r="B120" s="82" t="s">
        <v>216</v>
      </c>
      <c r="C120" s="91">
        <f>SUMIFS(TME[[#All],[Member Months]],TME[[#All],[Reporting Year]],Table19[[#Headers],[2019]],TME[[#All],[Insurance Category Code]],4)</f>
        <v>0</v>
      </c>
      <c r="D120" s="91">
        <f>SUMIFS(TME[[#All],[Member Months]],TME[[#All],[Reporting Year]],Table19[[#Headers],[2020]],TME[[#All],[Insurance Category Code]],4)</f>
        <v>0</v>
      </c>
      <c r="E120" s="143" t="str">
        <f>IFERROR(Table19[[#This Row],[2020]]/Table19[[#This Row],[2019]]-1,"NA")</f>
        <v>NA</v>
      </c>
    </row>
    <row r="121" spans="2:17" x14ac:dyDescent="0.35">
      <c r="B121" s="64" t="s">
        <v>217</v>
      </c>
      <c r="C121" s="91">
        <f>SUM(C122:C123)</f>
        <v>0</v>
      </c>
      <c r="D121" s="91">
        <f>SUM(D122:D123)</f>
        <v>0</v>
      </c>
      <c r="E121" s="143" t="str">
        <f>IFERROR(Table19[[#This Row],[2020]]/Table19[[#This Row],[2019]]-1,"NA")</f>
        <v>NA</v>
      </c>
    </row>
    <row r="122" spans="2:17" x14ac:dyDescent="0.35">
      <c r="B122" s="82" t="s">
        <v>218</v>
      </c>
      <c r="C122" s="91">
        <f>SUMIFS(TME[[#All],[Member Months]],TME[[#All],[Reporting Year]],Table19[[#Headers],[2019]],TME[[#All],[Insurance Category Code]],1)</f>
        <v>0</v>
      </c>
      <c r="D122" s="91">
        <f>SUMIFS(TME[[#All],[Member Months]],TME[[#All],[Reporting Year]],Table19[[#Headers],[2020]],TME[[#All],[Insurance Category Code]],1)</f>
        <v>0</v>
      </c>
      <c r="E122" s="143" t="str">
        <f>IFERROR(Table19[[#This Row],[2020]]/Table19[[#This Row],[2019]]-1,"NA")</f>
        <v>NA</v>
      </c>
    </row>
    <row r="123" spans="2:17" x14ac:dyDescent="0.35">
      <c r="B123" s="82" t="s">
        <v>219</v>
      </c>
      <c r="C123" s="91">
        <f>SUMIFS(TME[[#All],[Member Months]],TME[[#All],[Reporting Year]],Table19[[#Headers],[2019]],TME[[#All],[Insurance Category Code]],5)</f>
        <v>0</v>
      </c>
      <c r="D123" s="91">
        <f>SUMIFS(TME[[#All],[Member Months]],TME[[#All],[Reporting Year]],Table19[[#Headers],[2020]],TME[[#All],[Insurance Category Code]],5)</f>
        <v>0</v>
      </c>
      <c r="E123" s="143" t="str">
        <f>IFERROR(Table19[[#This Row],[2020]]/Table19[[#This Row],[2019]]-1,"NA")</f>
        <v>NA</v>
      </c>
    </row>
    <row r="124" spans="2:17" x14ac:dyDescent="0.35">
      <c r="B124" s="64" t="s">
        <v>220</v>
      </c>
      <c r="C124" s="91">
        <f>SUM(C125:C126)</f>
        <v>0</v>
      </c>
      <c r="D124" s="91">
        <f>SUM(D125:D126)</f>
        <v>0</v>
      </c>
      <c r="E124" s="143" t="str">
        <f>IFERROR(Table19[[#This Row],[2020]]/Table19[[#This Row],[2019]]-1,"NA")</f>
        <v>NA</v>
      </c>
    </row>
    <row r="125" spans="2:17" x14ac:dyDescent="0.35">
      <c r="B125" s="82" t="s">
        <v>221</v>
      </c>
      <c r="C125" s="91">
        <f>SUMIFS(TME[[#All],[Member Months]],TME[[#All],[Reporting Year]],Table19[[#Headers],[2019]],TME[[#All],[Insurance Category Code]],2)</f>
        <v>0</v>
      </c>
      <c r="D125" s="91">
        <f>SUMIFS(TME[[#All],[Member Months]],TME[[#All],[Reporting Year]],Table19[[#Headers],[2020]],TME[[#All],[Insurance Category Code]],2)</f>
        <v>0</v>
      </c>
      <c r="E125" s="143" t="str">
        <f>IFERROR(Table19[[#This Row],[2020]]/Table19[[#This Row],[2019]]-1,"NA")</f>
        <v>NA</v>
      </c>
    </row>
    <row r="126" spans="2:17" x14ac:dyDescent="0.35">
      <c r="B126" s="82" t="s">
        <v>222</v>
      </c>
      <c r="C126" s="91">
        <f>SUMIFS(TME[[#All],[Member Months]],TME[[#All],[Reporting Year]],Table19[[#Headers],[2019]],TME[[#All],[Insurance Category Code]],6)</f>
        <v>0</v>
      </c>
      <c r="D126" s="91">
        <f>SUMIFS(TME[[#All],[Member Months]],TME[[#All],[Reporting Year]],Table19[[#Headers],[2020]],TME[[#All],[Insurance Category Code]],6)</f>
        <v>0</v>
      </c>
      <c r="E126" s="143" t="str">
        <f>IFERROR(Table19[[#This Row],[2020]]/Table19[[#This Row],[2019]]-1,"NA")</f>
        <v>NA</v>
      </c>
    </row>
    <row r="127" spans="2:17" x14ac:dyDescent="0.35">
      <c r="B127" s="89" t="s">
        <v>192</v>
      </c>
      <c r="C127" s="92">
        <f>SUM(C118,C121,C124)</f>
        <v>0</v>
      </c>
      <c r="D127" s="92">
        <f>SUM(D118,D121,D124)</f>
        <v>0</v>
      </c>
      <c r="E127" s="143" t="str">
        <f>IFERROR(Table19[[#This Row],[2020]]/Table19[[#This Row],[2019]]-1,"NA")</f>
        <v>NA</v>
      </c>
    </row>
    <row r="129" spans="2:12" x14ac:dyDescent="0.35">
      <c r="B129" s="71" t="s">
        <v>309</v>
      </c>
      <c r="G129" s="71" t="s">
        <v>310</v>
      </c>
    </row>
    <row r="130" spans="2:12" x14ac:dyDescent="0.35">
      <c r="B130" s="70" t="s">
        <v>306</v>
      </c>
      <c r="G130" s="70" t="s">
        <v>306</v>
      </c>
    </row>
    <row r="131" spans="2:12" x14ac:dyDescent="0.35">
      <c r="B131" s="86" t="s">
        <v>210</v>
      </c>
      <c r="C131" s="87" t="s">
        <v>212</v>
      </c>
      <c r="D131" s="87" t="s">
        <v>283</v>
      </c>
      <c r="E131" s="88" t="s">
        <v>213</v>
      </c>
      <c r="G131" s="86" t="s">
        <v>210</v>
      </c>
      <c r="H131" s="87" t="s">
        <v>212</v>
      </c>
      <c r="I131" s="87" t="s">
        <v>283</v>
      </c>
      <c r="J131" s="88" t="s">
        <v>213</v>
      </c>
    </row>
    <row r="132" spans="2:12" x14ac:dyDescent="0.35">
      <c r="B132" s="64" t="s">
        <v>214</v>
      </c>
      <c r="C132" s="93">
        <f>SUM(C133:C134)</f>
        <v>0</v>
      </c>
      <c r="D132" s="93">
        <f>SUM(D133:D134)</f>
        <v>0</v>
      </c>
      <c r="E132" s="143" t="str">
        <f>IFERROR(Table1719[[#This Row],[2020]]/Table1719[[#This Row],[2019]]-1,"NA")</f>
        <v>NA</v>
      </c>
      <c r="G132" s="64" t="s">
        <v>214</v>
      </c>
      <c r="H132" s="93" t="str">
        <f>IFERROR(Table1719[[#This Row],[2019]]/C118,"NA")</f>
        <v>NA</v>
      </c>
      <c r="I132" s="93" t="str">
        <f>IFERROR(Table1719[[#This Row],[2020]]/D118,"NA")</f>
        <v>NA</v>
      </c>
      <c r="J132" s="142" t="str">
        <f>IFERROR(Table17820[[#This Row],[2020]]/Table17820[[#This Row],[2019]]-1,"NA")</f>
        <v>NA</v>
      </c>
    </row>
    <row r="133" spans="2:12" x14ac:dyDescent="0.35">
      <c r="B133" s="82" t="s">
        <v>215</v>
      </c>
      <c r="C133" s="93">
        <f>SUMIFS(TME[[#All],[Total Non-Truncated Claims and Non-Claims Spending]],TME[[#All],[Reporting Year]],Table1719[[#Headers],[2019]],TME[[#All],[Insurance Category Code]],3)</f>
        <v>0</v>
      </c>
      <c r="D133" s="93">
        <f>SUMIFS(TME[[#All],[Total Non-Truncated Claims and Non-Claims Spending]],TME[[#All],[Reporting Year]],Table1719[[#Headers],[2020]],TME[[#All],[Insurance Category Code]],3)</f>
        <v>0</v>
      </c>
      <c r="E133" s="143" t="str">
        <f>IFERROR(Table1719[[#This Row],[2020]]/Table1719[[#This Row],[2019]]-1,"NA")</f>
        <v>NA</v>
      </c>
      <c r="G133" s="82" t="s">
        <v>215</v>
      </c>
      <c r="H133" s="93" t="str">
        <f>IFERROR(Table1719[[#This Row],[2019]]/C119,"NA")</f>
        <v>NA</v>
      </c>
      <c r="I133" s="93" t="str">
        <f>IFERROR(Table1719[[#This Row],[2020]]/D119,"NA")</f>
        <v>NA</v>
      </c>
      <c r="J133" s="142" t="str">
        <f>IFERROR(Table17820[[#This Row],[2020]]/Table17820[[#This Row],[2019]]-1,"NA")</f>
        <v>NA</v>
      </c>
    </row>
    <row r="134" spans="2:12" x14ac:dyDescent="0.35">
      <c r="B134" s="82" t="s">
        <v>216</v>
      </c>
      <c r="C134" s="93">
        <f>SUMIFS(TME[[#All],[Total Non-Truncated Claims and Non-Claims Spending]],TME[[#All],[Reporting Year]],Table1719[[#Headers],[2019]],TME[[#All],[Insurance Category Code]],4)</f>
        <v>0</v>
      </c>
      <c r="D134" s="93">
        <f>SUMIFS(TME[[#All],[Total Non-Truncated Claims and Non-Claims Spending]],TME[[#All],[Reporting Year]],Table1719[[#Headers],[2020]],TME[[#All],[Insurance Category Code]],4)</f>
        <v>0</v>
      </c>
      <c r="E134" s="143" t="str">
        <f>IFERROR(Table1719[[#This Row],[2020]]/Table1719[[#This Row],[2019]]-1,"NA")</f>
        <v>NA</v>
      </c>
      <c r="G134" s="82" t="s">
        <v>216</v>
      </c>
      <c r="H134" s="93" t="str">
        <f>IFERROR(Table1719[[#This Row],[2019]]/C120,"NA")</f>
        <v>NA</v>
      </c>
      <c r="I134" s="93" t="str">
        <f>IFERROR(Table1719[[#This Row],[2020]]/D120,"NA")</f>
        <v>NA</v>
      </c>
      <c r="J134" s="142" t="str">
        <f>IFERROR(Table17820[[#This Row],[2020]]/Table17820[[#This Row],[2019]]-1,"NA")</f>
        <v>NA</v>
      </c>
    </row>
    <row r="135" spans="2:12" x14ac:dyDescent="0.35">
      <c r="B135" s="64" t="s">
        <v>217</v>
      </c>
      <c r="C135" s="93">
        <f>SUM(C136:C137)</f>
        <v>0</v>
      </c>
      <c r="D135" s="93">
        <f>SUM(D136:D137)</f>
        <v>0</v>
      </c>
      <c r="E135" s="143" t="str">
        <f>IFERROR(Table1719[[#This Row],[2020]]/Table1719[[#This Row],[2019]]-1,"NA")</f>
        <v>NA</v>
      </c>
      <c r="G135" s="64" t="s">
        <v>217</v>
      </c>
      <c r="H135" s="93" t="str">
        <f>IFERROR(Table1719[[#This Row],[2019]]/C121,"NA")</f>
        <v>NA</v>
      </c>
      <c r="I135" s="93" t="str">
        <f>IFERROR(Table1719[[#This Row],[2020]]/D121,"NA")</f>
        <v>NA</v>
      </c>
      <c r="J135" s="142" t="str">
        <f>IFERROR(Table17820[[#This Row],[2020]]/Table17820[[#This Row],[2019]]-1,"NA")</f>
        <v>NA</v>
      </c>
    </row>
    <row r="136" spans="2:12" x14ac:dyDescent="0.35">
      <c r="B136" s="82" t="s">
        <v>218</v>
      </c>
      <c r="C136" s="93">
        <f>SUMIFS(TME[[#All],[Total Non-Truncated Claims and Non-Claims Spending]],TME[[#All],[Reporting Year]],Table1719[[#Headers],[2019]],TME[[#All],[Insurance Category Code]],1)</f>
        <v>0</v>
      </c>
      <c r="D136" s="93">
        <f>SUMIFS(TME[[#All],[Total Non-Truncated Claims and Non-Claims Spending]],TME[[#All],[Reporting Year]],Table1719[[#Headers],[2020]],TME[[#All],[Insurance Category Code]],1)</f>
        <v>0</v>
      </c>
      <c r="E136" s="143" t="str">
        <f>IFERROR(Table1719[[#This Row],[2020]]/Table1719[[#This Row],[2019]]-1,"NA")</f>
        <v>NA</v>
      </c>
      <c r="G136" s="82" t="s">
        <v>218</v>
      </c>
      <c r="H136" s="93" t="str">
        <f>IFERROR(Table1719[[#This Row],[2019]]/C122,"NA")</f>
        <v>NA</v>
      </c>
      <c r="I136" s="93" t="str">
        <f>IFERROR(Table1719[[#This Row],[2020]]/D122,"NA")</f>
        <v>NA</v>
      </c>
      <c r="J136" s="142" t="str">
        <f>IFERROR(Table17820[[#This Row],[2020]]/Table17820[[#This Row],[2019]]-1,"NA")</f>
        <v>NA</v>
      </c>
    </row>
    <row r="137" spans="2:12" x14ac:dyDescent="0.35">
      <c r="B137" s="82" t="s">
        <v>219</v>
      </c>
      <c r="C137" s="93">
        <f>SUMIFS(TME[[#All],[Total Non-Truncated Claims and Non-Claims Spending]],TME[[#All],[Reporting Year]],Table1719[[#Headers],[2019]],TME[[#All],[Insurance Category Code]],5)</f>
        <v>0</v>
      </c>
      <c r="D137" s="93">
        <f>SUMIFS(TME[[#All],[Total Non-Truncated Claims and Non-Claims Spending]],TME[[#All],[Reporting Year]],Table1719[[#Headers],[2020]],TME[[#All],[Insurance Category Code]],5)</f>
        <v>0</v>
      </c>
      <c r="E137" s="143" t="str">
        <f>IFERROR(Table1719[[#This Row],[2020]]/Table1719[[#This Row],[2019]]-1,"NA")</f>
        <v>NA</v>
      </c>
      <c r="G137" s="82" t="s">
        <v>219</v>
      </c>
      <c r="H137" s="93" t="str">
        <f>IFERROR(Table1719[[#This Row],[2019]]/C123,"NA")</f>
        <v>NA</v>
      </c>
      <c r="I137" s="93" t="str">
        <f>IFERROR(Table1719[[#This Row],[2020]]/D123,"NA")</f>
        <v>NA</v>
      </c>
      <c r="J137" s="142" t="str">
        <f>IFERROR(Table17820[[#This Row],[2020]]/Table17820[[#This Row],[2019]]-1,"NA")</f>
        <v>NA</v>
      </c>
    </row>
    <row r="138" spans="2:12" x14ac:dyDescent="0.35">
      <c r="B138" s="64" t="s">
        <v>220</v>
      </c>
      <c r="C138" s="93">
        <f>SUM(C139:C140)</f>
        <v>0</v>
      </c>
      <c r="D138" s="93">
        <f>SUM(D139:D140)</f>
        <v>0</v>
      </c>
      <c r="E138" s="143" t="str">
        <f>IFERROR(Table1719[[#This Row],[2020]]/Table1719[[#This Row],[2019]]-1,"NA")</f>
        <v>NA</v>
      </c>
      <c r="G138" s="64" t="s">
        <v>220</v>
      </c>
      <c r="H138" s="93" t="str">
        <f>IFERROR(Table1719[[#This Row],[2019]]/C124,"NA")</f>
        <v>NA</v>
      </c>
      <c r="I138" s="93" t="str">
        <f>IFERROR(Table1719[[#This Row],[2020]]/D124,"NA")</f>
        <v>NA</v>
      </c>
      <c r="J138" s="142" t="str">
        <f>IFERROR(Table17820[[#This Row],[2020]]/Table17820[[#This Row],[2019]]-1,"NA")</f>
        <v>NA</v>
      </c>
    </row>
    <row r="139" spans="2:12" x14ac:dyDescent="0.35">
      <c r="B139" s="82" t="s">
        <v>221</v>
      </c>
      <c r="C139" s="93">
        <f>SUMIFS(TME[[#All],[Total Non-Truncated Claims and Non-Claims Spending]],TME[[#All],[Reporting Year]],Table1719[[#Headers],[2019]],TME[[#All],[Insurance Category Code]],2)</f>
        <v>0</v>
      </c>
      <c r="D139" s="93">
        <f>SUMIFS(TME[[#All],[Total Non-Truncated Claims and Non-Claims Spending]],TME[[#All],[Reporting Year]],Table1719[[#Headers],[2020]],TME[[#All],[Insurance Category Code]],2)</f>
        <v>0</v>
      </c>
      <c r="E139" s="143" t="str">
        <f>IFERROR(Table1719[[#This Row],[2020]]/Table1719[[#This Row],[2019]]-1,"NA")</f>
        <v>NA</v>
      </c>
      <c r="G139" s="82" t="s">
        <v>221</v>
      </c>
      <c r="H139" s="93" t="str">
        <f>IFERROR(Table1719[[#This Row],[2019]]/C125,"NA")</f>
        <v>NA</v>
      </c>
      <c r="I139" s="93" t="str">
        <f>IFERROR(Table1719[[#This Row],[2020]]/D125,"NA")</f>
        <v>NA</v>
      </c>
      <c r="J139" s="142" t="str">
        <f>IFERROR(Table17820[[#This Row],[2020]]/Table17820[[#This Row],[2019]]-1,"NA")</f>
        <v>NA</v>
      </c>
    </row>
    <row r="140" spans="2:12" x14ac:dyDescent="0.35">
      <c r="B140" s="82" t="s">
        <v>222</v>
      </c>
      <c r="C140" s="93">
        <f>SUMIFS(TME[[#All],[Total Non-Truncated Claims and Non-Claims Spending]],TME[[#All],[Reporting Year]],Table1719[[#Headers],[2019]],TME[[#All],[Insurance Category Code]],6)</f>
        <v>0</v>
      </c>
      <c r="D140" s="93">
        <f>SUMIFS(TME[[#All],[Total Non-Truncated Claims and Non-Claims Spending]],TME[[#All],[Reporting Year]],Table1719[[#Headers],[2020]],TME[[#All],[Insurance Category Code]],6)</f>
        <v>0</v>
      </c>
      <c r="E140" s="143" t="str">
        <f>IFERROR(Table1719[[#This Row],[2020]]/Table1719[[#This Row],[2019]]-1,"NA")</f>
        <v>NA</v>
      </c>
      <c r="G140" s="82" t="s">
        <v>222</v>
      </c>
      <c r="H140" s="93" t="str">
        <f>IFERROR(Table1719[[#This Row],[2019]]/C126,"NA")</f>
        <v>NA</v>
      </c>
      <c r="I140" s="93" t="str">
        <f>IFERROR(Table1719[[#This Row],[2020]]/D126,"NA")</f>
        <v>NA</v>
      </c>
      <c r="J140" s="142" t="str">
        <f>IFERROR(Table17820[[#This Row],[2020]]/Table17820[[#This Row],[2019]]-1,"NA")</f>
        <v>NA</v>
      </c>
    </row>
    <row r="141" spans="2:12" x14ac:dyDescent="0.35">
      <c r="B141" s="89" t="s">
        <v>192</v>
      </c>
      <c r="C141" s="94">
        <f>SUM(C132,C135,C138)</f>
        <v>0</v>
      </c>
      <c r="D141" s="94">
        <f>SUM(D132,D135,D138)</f>
        <v>0</v>
      </c>
      <c r="E141" s="143" t="str">
        <f>IFERROR(Table1719[[#This Row],[2020]]/Table1719[[#This Row],[2019]]-1,"NA")</f>
        <v>NA</v>
      </c>
      <c r="G141" s="89" t="s">
        <v>192</v>
      </c>
      <c r="H141" s="93" t="str">
        <f>IFERROR(Table1719[[#This Row],[2019]]/C127,"NA")</f>
        <v>NA</v>
      </c>
      <c r="I141" s="93" t="str">
        <f>IFERROR(Table1719[[#This Row],[2020]]/D127,"NA")</f>
        <v>NA</v>
      </c>
      <c r="J141" s="142" t="str">
        <f>IFERROR(Table17820[[#This Row],[2020]]/Table17820[[#This Row],[2019]]-1,"NA")</f>
        <v>NA</v>
      </c>
    </row>
    <row r="143" spans="2:12" x14ac:dyDescent="0.35">
      <c r="B143" s="71" t="s">
        <v>311</v>
      </c>
      <c r="G143" s="71" t="s">
        <v>312</v>
      </c>
      <c r="L143" s="71" t="s">
        <v>313</v>
      </c>
    </row>
    <row r="144" spans="2:12" x14ac:dyDescent="0.35">
      <c r="B144" s="70" t="s">
        <v>307</v>
      </c>
      <c r="G144" s="70" t="s">
        <v>307</v>
      </c>
      <c r="L144" s="70" t="s">
        <v>307</v>
      </c>
    </row>
    <row r="145" spans="2:15" x14ac:dyDescent="0.35">
      <c r="B145" s="69" t="s">
        <v>228</v>
      </c>
      <c r="C145" s="149" t="s">
        <v>212</v>
      </c>
      <c r="D145" s="149" t="s">
        <v>283</v>
      </c>
      <c r="E145" s="150" t="s">
        <v>213</v>
      </c>
      <c r="G145" s="69" t="s">
        <v>228</v>
      </c>
      <c r="H145" s="149" t="s">
        <v>212</v>
      </c>
      <c r="I145" s="149" t="s">
        <v>283</v>
      </c>
      <c r="J145" s="150" t="s">
        <v>213</v>
      </c>
      <c r="L145" s="69" t="s">
        <v>228</v>
      </c>
      <c r="M145" s="149" t="s">
        <v>212</v>
      </c>
      <c r="N145" s="149" t="s">
        <v>283</v>
      </c>
      <c r="O145" s="150" t="s">
        <v>213</v>
      </c>
    </row>
    <row r="146" spans="2:15" x14ac:dyDescent="0.35">
      <c r="B146" s="64" t="s">
        <v>90</v>
      </c>
      <c r="C146" s="141">
        <f>SUM(H146,M146)</f>
        <v>0</v>
      </c>
      <c r="D146" s="141">
        <f>SUM(I146,N146)</f>
        <v>0</v>
      </c>
      <c r="E146" s="143" t="str">
        <f>IFERROR(Table921[[#This Row],[2020]]/Table921[[#This Row],[2019]]-1,"NA")</f>
        <v>NA</v>
      </c>
      <c r="G146" s="64" t="s">
        <v>90</v>
      </c>
      <c r="H146" s="141">
        <f>SUMIFS(TME[[#All],[Member Months]],TME[[#All],[Reporting Year]],2019,TME[[#All],[Insurance Category Code]],3)</f>
        <v>0</v>
      </c>
      <c r="I146" s="141">
        <f>SUMIFS(TME[[#All],[Member Months]],TME[[#All],[Reporting Year]],2020,TME[[#All],[Insurance Category Code]],3)</f>
        <v>0</v>
      </c>
      <c r="J146" s="143" t="str">
        <f>IFERROR(Table91122[[#This Row],[2020]]/Table91122[[#This Row],[2019]]-1,"NA")</f>
        <v>NA</v>
      </c>
      <c r="L146" s="64" t="s">
        <v>90</v>
      </c>
      <c r="M146" s="141">
        <f>SUMIFS(TME[[#All],[Member Months]],TME[[#All],[Reporting Year]],2019,TME[[#All],[Insurance Category Code]],4)</f>
        <v>0</v>
      </c>
      <c r="N146" s="141">
        <f>SUMIFS(TME[[#All],[Member Months]],TME[[#All],[Reporting Year]],2020,TME[[#All],[Insurance Category Code]],4)</f>
        <v>0</v>
      </c>
      <c r="O146" s="143" t="str">
        <f>IFERROR(Table9111223[[#This Row],[2020]]/Table9111223[[#This Row],[2019]]-1,"NA")</f>
        <v>NA</v>
      </c>
    </row>
    <row r="147" spans="2:15" x14ac:dyDescent="0.35">
      <c r="B147" s="64" t="s">
        <v>91</v>
      </c>
      <c r="C147" s="146" t="str" cm="1">
        <f t="array" ref="C147">IFERROR((SUMPRODUCT(ICC3_MemberMonths_2019,H147)+SUMPRODUCT(ICC4_MemberMonths_2019,M147))/Commercial_MemberMonths_2019,"NA")</f>
        <v>NA</v>
      </c>
      <c r="D147" s="146" t="str" cm="1">
        <f t="array" ref="D147">IFERROR((SUMPRODUCT(ICC3_MemberMonths_2020,I147)+SUMPRODUCT(ICC4_MemberMonths_2020,N147))/Commercial_MemberMonths_2020,"NA")</f>
        <v>NA</v>
      </c>
      <c r="E147" s="143" t="str">
        <f>IFERROR(Table921[[#This Row],[2020]]/Table921[[#This Row],[2019]]-1,"NA")</f>
        <v>NA</v>
      </c>
      <c r="G147" s="64" t="s">
        <v>91</v>
      </c>
      <c r="H147" s="146" t="str">
        <f>IFERROR((SUMIFS(TME[[#All],[Claims: Hospital Inpatient]],TME[[#All],[Reporting Year]],2019,TME[[#All],[Insurance Category Code]],3))/ICC3_MemberMonths_2019,"NA")</f>
        <v>NA</v>
      </c>
      <c r="I147" s="146" t="str" cm="1">
        <f t="array" ref="I147">IFERROR((SUMIFS(TME[[#All],[Claims: Hospital Inpatient]],TME[[#All],[Reporting Year]],2020,TME[[#All],[Insurance Category Code]],3))/ICC3_MemberMonths_2020,"NA")</f>
        <v>NA</v>
      </c>
      <c r="J147" s="143" t="str">
        <f>IFERROR(Table91122[[#This Row],[2020]]/Table91122[[#This Row],[2019]]-1,"NA")</f>
        <v>NA</v>
      </c>
      <c r="L147" s="64" t="s">
        <v>91</v>
      </c>
      <c r="M147" s="146" t="str">
        <f>IFERROR((SUMIFS(TME[[#All],[Claims: Hospital Inpatient]],TME[[#All],[Reporting Year]],2019,TME[[#All],[Insurance Category Code]],4))/ICC4_MemberMonths_2019,"NA")</f>
        <v>NA</v>
      </c>
      <c r="N147" s="146" t="str" cm="1">
        <f t="array" ref="N147">IFERROR((SUMIFS(TME[[#All],[Claims: Hospital Inpatient]],TME[[#All],[Reporting Year]],2019,TME[[#All],[Insurance Category Code]],4))/ICC4_MemberMonths_2020,"NA")</f>
        <v>NA</v>
      </c>
      <c r="O147" s="143" t="str">
        <f>IFERROR(Table9111223[[#This Row],[2020]]/Table9111223[[#This Row],[2019]]-1,"NA")</f>
        <v>NA</v>
      </c>
    </row>
    <row r="148" spans="2:15" x14ac:dyDescent="0.35">
      <c r="B148" s="64" t="s">
        <v>92</v>
      </c>
      <c r="C148" s="146" t="str" cm="1">
        <f t="array" ref="C148">IFERROR((SUMPRODUCT(ICC3_MemberMonths_2019,H148)+SUMPRODUCT(ICC4_MemberMonths_2019,M148))/Commercial_MemberMonths_2019,"NA")</f>
        <v>NA</v>
      </c>
      <c r="D148" s="146" t="str" cm="1">
        <f t="array" ref="D148">IFERROR((SUMPRODUCT(ICC3_MemberMonths_2020,I148)+SUMPRODUCT(ICC4_MemberMonths_2020,N148))/Commercial_MemberMonths_2020,"NA")</f>
        <v>NA</v>
      </c>
      <c r="E148" s="143" t="str">
        <f>IFERROR(Table921[[#This Row],[2020]]/Table921[[#This Row],[2019]]-1,"NA")</f>
        <v>NA</v>
      </c>
      <c r="F148" s="37"/>
      <c r="G148" s="64" t="s">
        <v>92</v>
      </c>
      <c r="H148" s="146" t="str">
        <f>IFERROR((SUMIFS(TME[[#All],[Claims: Hospital Outpatient]],TME[[#All],[Reporting Year]],2019,TME[[#All],[Insurance Category Code]],3))/ICC3_MemberMonths_2019,"NA")</f>
        <v>NA</v>
      </c>
      <c r="I148" s="146" t="str" cm="1">
        <f t="array" ref="I148">IFERROR((SUMIFS(TME[[#All],[Claims: Hospital Outpatient]],TME[[#All],[Reporting Year]],2020,TME[[#All],[Insurance Category Code]],3))/ICC3_MemberMonths_2020,"NA")</f>
        <v>NA</v>
      </c>
      <c r="J148" s="143" t="str">
        <f>IFERROR(Table91122[[#This Row],[2020]]/Table91122[[#This Row],[2019]]-1,"NA")</f>
        <v>NA</v>
      </c>
      <c r="L148" s="64" t="s">
        <v>92</v>
      </c>
      <c r="M148" s="146" t="str">
        <f>IFERROR((SUMIFS(TME[[#All],[Claims: Hospital Outpatient]],TME[[#All],[Reporting Year]],2019,TME[[#All],[Insurance Category Code]],4))/ICC4_MemberMonths_2019,"NA")</f>
        <v>NA</v>
      </c>
      <c r="N148" s="146" t="str" cm="1">
        <f t="array" ref="N148">IFERROR((SUMIFS(TME[[#All],[Claims: Hospital Outpatient]],TME[[#All],[Reporting Year]],2019,TME[[#All],[Insurance Category Code]],4))/ICC4_MemberMonths_2020,"NA")</f>
        <v>NA</v>
      </c>
      <c r="O148" s="143" t="str">
        <f>IFERROR(Table9111223[[#This Row],[2020]]/Table9111223[[#This Row],[2019]]-1,"NA")</f>
        <v>NA</v>
      </c>
    </row>
    <row r="149" spans="2:15" x14ac:dyDescent="0.35">
      <c r="B149" s="64" t="s">
        <v>93</v>
      </c>
      <c r="C149" s="146" t="str" cm="1">
        <f t="array" ref="C149">IFERROR((SUMPRODUCT(ICC3_MemberMonths_2019,H149)+SUMPRODUCT(ICC4_MemberMonths_2019,M149))/Commercial_MemberMonths_2019,"NA")</f>
        <v>NA</v>
      </c>
      <c r="D149" s="146" t="str" cm="1">
        <f t="array" ref="D149">IFERROR((SUMPRODUCT(ICC3_MemberMonths_2020,I149)+SUMPRODUCT(ICC4_MemberMonths_2020,N149))/Commercial_MemberMonths_2020,"NA")</f>
        <v>NA</v>
      </c>
      <c r="E149" s="143" t="str">
        <f>IFERROR(Table921[[#This Row],[2020]]/Table921[[#This Row],[2019]]-1,"NA")</f>
        <v>NA</v>
      </c>
      <c r="G149" s="64" t="s">
        <v>93</v>
      </c>
      <c r="H149" s="146" t="str">
        <f>IFERROR((SUMIFS(TME[[#All],[Claims: Professional, Primary Care Providers]],TME[[#All],[Reporting Year]],2019,TME[[#All],[Insurance Category Code]],3))/ICC3_MemberMonths_2019,"NA")</f>
        <v>NA</v>
      </c>
      <c r="I149" s="146" t="str" cm="1">
        <f t="array" ref="I149">IFERROR((SUMIFS(TME[[#All],[Claims: Professional, Primary Care Providers]],TME[[#All],[Reporting Year]],2020,TME[[#All],[Insurance Category Code]],3))/ICC3_MemberMonths_2020,"NA")</f>
        <v>NA</v>
      </c>
      <c r="J149" s="143" t="str">
        <f>IFERROR(Table91122[[#This Row],[2020]]/Table91122[[#This Row],[2019]]-1,"NA")</f>
        <v>NA</v>
      </c>
      <c r="L149" s="64" t="s">
        <v>93</v>
      </c>
      <c r="M149" s="146" t="str">
        <f>IFERROR((SUMIFS(TME[[#All],[Claims: Professional, Primary Care Providers]],TME[[#All],[Reporting Year]],2019,TME[[#All],[Insurance Category Code]],4))/ICC4_MemberMonths_2019,"NA")</f>
        <v>NA</v>
      </c>
      <c r="N149" s="146" t="str" cm="1">
        <f t="array" ref="N149">IFERROR((SUMIFS(TME[[#All],[Claims: Professional, Primary Care Providers]],TME[[#All],[Reporting Year]],2019,TME[[#All],[Insurance Category Code]],4))/ICC4_MemberMonths_2020,"NA")</f>
        <v>NA</v>
      </c>
      <c r="O149" s="143" t="str">
        <f>IFERROR(Table9111223[[#This Row],[2020]]/Table9111223[[#This Row],[2019]]-1,"NA")</f>
        <v>NA</v>
      </c>
    </row>
    <row r="150" spans="2:15" x14ac:dyDescent="0.35">
      <c r="B150" s="64" t="s">
        <v>94</v>
      </c>
      <c r="C150" s="146" t="str" cm="1">
        <f t="array" ref="C150">IFERROR((SUMPRODUCT(ICC3_MemberMonths_2019,H150)+SUMPRODUCT(ICC4_MemberMonths_2019,M150))/Commercial_MemberMonths_2019,"NA")</f>
        <v>NA</v>
      </c>
      <c r="D150" s="146" t="str" cm="1">
        <f t="array" ref="D150">IFERROR((SUMPRODUCT(ICC3_MemberMonths_2020,I150)+SUMPRODUCT(ICC4_MemberMonths_2020,N150))/Commercial_MemberMonths_2020,"NA")</f>
        <v>NA</v>
      </c>
      <c r="E150" s="143" t="str">
        <f>IFERROR(Table921[[#This Row],[2020]]/Table921[[#This Row],[2019]]-1,"NA")</f>
        <v>NA</v>
      </c>
      <c r="G150" s="64" t="s">
        <v>94</v>
      </c>
      <c r="H150" s="146" t="str">
        <f>IFERROR((SUMIFS(TME[[#All],[Claims: Professional, Specialty Providers]],TME[[#All],[Reporting Year]],2019,TME[[#All],[Insurance Category Code]],3))/ICC3_MemberMonths_2019,"NA")</f>
        <v>NA</v>
      </c>
      <c r="I150" s="146" t="str" cm="1">
        <f t="array" ref="I150">IFERROR((SUMIFS(TME[[#All],[Claims: Professional, Specialty Providers]],TME[[#All],[Reporting Year]],2020,TME[[#All],[Insurance Category Code]],3))/ICC3_MemberMonths_2020,"NA")</f>
        <v>NA</v>
      </c>
      <c r="J150" s="143" t="str">
        <f>IFERROR(Table91122[[#This Row],[2020]]/Table91122[[#This Row],[2019]]-1,"NA")</f>
        <v>NA</v>
      </c>
      <c r="L150" s="64" t="s">
        <v>94</v>
      </c>
      <c r="M150" s="146" t="str">
        <f>IFERROR((SUMIFS(TME[[#All],[Claims: Professional, Specialty Providers]],TME[[#All],[Reporting Year]],2019,TME[[#All],[Insurance Category Code]],4))/ICC4_MemberMonths_2019,"NA")</f>
        <v>NA</v>
      </c>
      <c r="N150" s="146" t="str" cm="1">
        <f t="array" ref="N150">IFERROR((SUMIFS(TME[[#All],[Claims: Professional, Specialty Providers]],TME[[#All],[Reporting Year]],2019,TME[[#All],[Insurance Category Code]],4))/ICC4_MemberMonths_2020,"NA")</f>
        <v>NA</v>
      </c>
      <c r="O150" s="143" t="str">
        <f>IFERROR(Table9111223[[#This Row],[2020]]/Table9111223[[#This Row],[2019]]-1,"NA")</f>
        <v>NA</v>
      </c>
    </row>
    <row r="151" spans="2:15" x14ac:dyDescent="0.35">
      <c r="B151" s="64" t="s">
        <v>95</v>
      </c>
      <c r="C151" s="146" t="str" cm="1">
        <f t="array" ref="C151">IFERROR((SUMPRODUCT(ICC3_MemberMonths_2019,H151)+SUMPRODUCT(ICC4_MemberMonths_2019,M151))/Commercial_MemberMonths_2019,"NA")</f>
        <v>NA</v>
      </c>
      <c r="D151" s="146" t="str" cm="1">
        <f t="array" ref="D151">IFERROR((SUMPRODUCT(ICC3_MemberMonths_2020,I151)+SUMPRODUCT(ICC4_MemberMonths_2020,N151))/Commercial_MemberMonths_2020,"NA")</f>
        <v>NA</v>
      </c>
      <c r="E151" s="143" t="str">
        <f>IFERROR(Table921[[#This Row],[2020]]/Table921[[#This Row],[2019]]-1,"NA")</f>
        <v>NA</v>
      </c>
      <c r="G151" s="64" t="s">
        <v>95</v>
      </c>
      <c r="H151" s="146" t="str">
        <f>IFERROR((SUMIFS(TME[[#All],[Claims: Professional, Other Providers]],TME[[#All],[Reporting Year]],2019,TME[[#All],[Insurance Category Code]],3))/ICC3_MemberMonths_2019,"NA")</f>
        <v>NA</v>
      </c>
      <c r="I151" s="146" t="str" cm="1">
        <f t="array" ref="I151">IFERROR((SUMIFS(TME[[#All],[Claims: Professional, Other Providers]],TME[[#All],[Reporting Year]],2020,TME[[#All],[Insurance Category Code]],3))/ICC3_MemberMonths_2020,"NA")</f>
        <v>NA</v>
      </c>
      <c r="J151" s="143" t="str">
        <f>IFERROR(Table91122[[#This Row],[2020]]/Table91122[[#This Row],[2019]]-1,"NA")</f>
        <v>NA</v>
      </c>
      <c r="L151" s="64" t="s">
        <v>95</v>
      </c>
      <c r="M151" s="146" t="str">
        <f>IFERROR((SUMIFS(TME[[#All],[Claims: Professional, Other Providers]],TME[[#All],[Reporting Year]],2019,TME[[#All],[Insurance Category Code]],4))/ICC4_MemberMonths_2019,"NA")</f>
        <v>NA</v>
      </c>
      <c r="N151" s="146" t="str" cm="1">
        <f t="array" ref="N151">IFERROR((SUMIFS(TME[[#All],[Claims: Professional, Other Providers]],TME[[#All],[Reporting Year]],2019,TME[[#All],[Insurance Category Code]],4))/ICC4_MemberMonths_2020,"NA")</f>
        <v>NA</v>
      </c>
      <c r="O151" s="143" t="str">
        <f>IFERROR(Table9111223[[#This Row],[2020]]/Table9111223[[#This Row],[2019]]-1,"NA")</f>
        <v>NA</v>
      </c>
    </row>
    <row r="152" spans="2:15" x14ac:dyDescent="0.35">
      <c r="B152" s="64" t="s">
        <v>96</v>
      </c>
      <c r="C152" s="146" t="str" cm="1">
        <f t="array" ref="C152">IFERROR((SUMPRODUCT(ICC3_MemberMonths_2019,H152)+SUMPRODUCT(ICC4_MemberMonths_2019,M152))/Commercial_MemberMonths_2019,"NA")</f>
        <v>NA</v>
      </c>
      <c r="D152" s="146" t="str" cm="1">
        <f t="array" ref="D152">IFERROR((SUMPRODUCT(ICC3_MemberMonths_2020,I152)+SUMPRODUCT(ICC4_MemberMonths_2020,N152))/Commercial_MemberMonths_2020,"NA")</f>
        <v>NA</v>
      </c>
      <c r="E152" s="143" t="str">
        <f>IFERROR(Table921[[#This Row],[2020]]/Table921[[#This Row],[2019]]-1,"NA")</f>
        <v>NA</v>
      </c>
      <c r="G152" s="64" t="s">
        <v>96</v>
      </c>
      <c r="H152" s="146" t="str">
        <f>IFERROR((SUMIFS(TME[[#All],[Claims: Long-Term Care]],TME[[#All],[Reporting Year]],2019,TME[[#All],[Insurance Category Code]],3))/ICC3_MemberMonths_2019,"NA")</f>
        <v>NA</v>
      </c>
      <c r="I152" s="146" t="str" cm="1">
        <f t="array" ref="I152">IFERROR((SUMIFS(TME[[#All],[Claims: Long-Term Care]],TME[[#All],[Reporting Year]],2020,TME[[#All],[Insurance Category Code]],3))/ICC3_MemberMonths_2020,"NA")</f>
        <v>NA</v>
      </c>
      <c r="J152" s="143" t="str">
        <f>IFERROR(Table91122[[#This Row],[2020]]/Table91122[[#This Row],[2019]]-1,"NA")</f>
        <v>NA</v>
      </c>
      <c r="L152" s="64" t="s">
        <v>96</v>
      </c>
      <c r="M152" s="146" t="str">
        <f>IFERROR((SUMIFS(TME[[#All],[Claims: Long-Term Care]],TME[[#All],[Reporting Year]],2019,TME[[#All],[Insurance Category Code]],4))/ICC4_MemberMonths_2019,"NA")</f>
        <v>NA</v>
      </c>
      <c r="N152" s="146" t="str" cm="1">
        <f t="array" ref="N152">IFERROR((SUMIFS(TME[[#All],[Claims: Long-Term Care]],TME[[#All],[Reporting Year]],2019,TME[[#All],[Insurance Category Code]],4))/ICC4_MemberMonths_2020,"NA")</f>
        <v>NA</v>
      </c>
      <c r="O152" s="143" t="str">
        <f>IFERROR(Table9111223[[#This Row],[2020]]/Table9111223[[#This Row],[2019]]-1,"NA")</f>
        <v>NA</v>
      </c>
    </row>
    <row r="153" spans="2:15" x14ac:dyDescent="0.35">
      <c r="B153" s="64" t="s">
        <v>229</v>
      </c>
      <c r="C153" s="146" t="str" cm="1">
        <f t="array" ref="C153">IFERROR((SUMPRODUCT(ICC3_MemberMonths_2019,H153)+SUMPRODUCT(ICC4_MemberMonths_2019,M153))/Commercial_MemberMonths_2019,"NA")</f>
        <v>NA</v>
      </c>
      <c r="D153" s="146" t="str" cm="1">
        <f t="array" ref="D153">IFERROR((SUMPRODUCT(ICC3_MemberMonths_2020,I153)+SUMPRODUCT(ICC4_MemberMonths_2020,N153))/Commercial_MemberMonths_2020,"NA")</f>
        <v>NA</v>
      </c>
      <c r="E153" s="143" t="str">
        <f>IFERROR(Table921[[#This Row],[2020]]/Table921[[#This Row],[2019]]-1,"NA")</f>
        <v>NA</v>
      </c>
      <c r="G153" s="64" t="s">
        <v>229</v>
      </c>
      <c r="H153" s="146" t="str">
        <f>IFERROR((SUMIFS(TME[[#All],[Claims: Retail Pharmacy]],TME[[#All],[Reporting Year]],2019,TME[[#All],[Insurance Category Code]],3))/ICC3_MemberMonths_2019,"NA")</f>
        <v>NA</v>
      </c>
      <c r="I153" s="146" t="str" cm="1">
        <f t="array" ref="I153">IFERROR((SUMIFS(TME[[#All],[Claims: Retail Pharmacy]],TME[[#All],[Reporting Year]],2020,TME[[#All],[Insurance Category Code]],3))/ICC3_MemberMonths_2020,"NA")</f>
        <v>NA</v>
      </c>
      <c r="J153" s="143" t="str">
        <f>IFERROR(Table91122[[#This Row],[2020]]/Table91122[[#This Row],[2019]]-1,"NA")</f>
        <v>NA</v>
      </c>
      <c r="L153" s="64" t="s">
        <v>229</v>
      </c>
      <c r="M153" s="146" t="str">
        <f>IFERROR((SUMIFS(TME[[#All],[Claims: Retail Pharmacy]],TME[[#All],[Reporting Year]],2019,TME[[#All],[Insurance Category Code]],4))/ICC4_MemberMonths_2019,"NA")</f>
        <v>NA</v>
      </c>
      <c r="N153" s="146" t="str" cm="1">
        <f t="array" ref="N153">IFERROR((SUMIFS(TME[[#All],[Claims: Retail Pharmacy]],TME[[#All],[Reporting Year]],2019,TME[[#All],[Insurance Category Code]],4))/ICC4_MemberMonths_2020,"NA")</f>
        <v>NA</v>
      </c>
      <c r="O153" s="143" t="str">
        <f>IFERROR(Table9111223[[#This Row],[2020]]/Table9111223[[#This Row],[2019]]-1,"NA")</f>
        <v>NA</v>
      </c>
    </row>
    <row r="154" spans="2:15" x14ac:dyDescent="0.35">
      <c r="B154" s="82" t="s">
        <v>230</v>
      </c>
      <c r="C154" s="146" t="str" cm="1">
        <f t="array" ref="C154">IFERROR((SUMPRODUCT(ICC3_MemberMonths_2019,H154)+SUMPRODUCT(ICC4_MemberMonths_2019,M154))/Commercial_MemberMonths_2019,"NA")</f>
        <v>NA</v>
      </c>
      <c r="D154" s="146" t="str" cm="1">
        <f t="array" ref="D154">IFERROR((SUMPRODUCT(ICC3_MemberMonths_2020,I154)+SUMPRODUCT(ICC4_MemberMonths_2020,N154))/Commercial_MemberMonths_2020,"NA")</f>
        <v>NA</v>
      </c>
      <c r="E154" s="143" t="str">
        <f>IFERROR(Table921[[#This Row],[2020]]/Table921[[#This Row],[2019]]-1,"NA")</f>
        <v>NA</v>
      </c>
      <c r="G154" s="82" t="s">
        <v>230</v>
      </c>
      <c r="H154" s="146" t="str">
        <f>IFERROR((SUMIFS(TME[[#All],[Claims: Retail Pharmacy]],TME[[#All],[Reporting Year]],2019,TME[[#All],[Insurance Category Code]],3))-ABS(SUMIFS(RX_REBATE[[#All],[Total Pharmacy Rebate Amount]],RX_REBATE[[#All],[Reporting Year]],2019,RX_REBATE[[#All],[Insurance Category Code]],3))/ICC3_MemberMonths_2019,"NA")</f>
        <v>NA</v>
      </c>
      <c r="I154" s="146" t="str" cm="1">
        <f t="array" ref="I154">IFERROR((SUMIFS(TME[[#All],[Claims: Retail Pharmacy]],TME[[#All],[Reporting Year]],2020,TME[[#All],[Insurance Category Code]],3))-ABS(SUMIFS(RX_REBATE[[#All],[Total Pharmacy Rebate Amount]],RX_REBATE[[#All],[Reporting Year]],2020,RX_REBATE[[#All],[Insurance Category Code]],3))/ICC3_MemberMonths_2020,"NA")</f>
        <v>NA</v>
      </c>
      <c r="J154" s="143" t="str">
        <f>IFERROR(Table91122[[#This Row],[2020]]/Table91122[[#This Row],[2019]]-1,"NA")</f>
        <v>NA</v>
      </c>
      <c r="L154" s="82" t="s">
        <v>230</v>
      </c>
      <c r="M154" s="146" t="str">
        <f>IFERROR((SUMIFS(TME[[#All],[Claims: Retail Pharmacy]],TME[[#All],[Reporting Year]],2019,TME[[#All],[Insurance Category Code]],4))-ABS(SUMIFS(RX_REBATE[[#All],[Total Pharmacy Rebate Amount]],RX_REBATE[[#All],[Reporting Year]],2019,RX_REBATE[[#All],[Insurance Category Code]],4))/ICC4_MemberMonths_2019,"NA")</f>
        <v>NA</v>
      </c>
      <c r="N154" s="146" t="str">
        <f>IFERROR((SUMIFS(TME[[#All],[Claims: Retail Pharmacy]],TME[[#All],[Reporting Year]],2020,TME[[#All],[Insurance Category Code]],4))-ABS(SUMIFS(RX_REBATE[[#All],[Total Pharmacy Rebate Amount]],RX_REBATE[[#All],[Reporting Year]],2020,RX_REBATE[[#All],[Insurance Category Code]],4))/ICC4_MemberMonths_2020,"NA")</f>
        <v>NA</v>
      </c>
      <c r="O154" s="143" t="str">
        <f>IFERROR(Table9111223[[#This Row],[2020]]/Table9111223[[#This Row],[2019]]-1,"NA")</f>
        <v>NA</v>
      </c>
    </row>
    <row r="155" spans="2:15" x14ac:dyDescent="0.35">
      <c r="B155" s="82" t="s">
        <v>231</v>
      </c>
      <c r="C155" s="146" t="str" cm="1">
        <f t="array" ref="C155">IFERROR((SUMPRODUCT(ICC3_MemberMonths_2019,H155)+SUMPRODUCT(ICC4_MemberMonths_2019,M155))/Commercial_MemberMonths_2019,"NA")</f>
        <v>NA</v>
      </c>
      <c r="D155" s="146" t="str" cm="1">
        <f t="array" ref="D155">IFERROR((SUMPRODUCT(ICC3_MemberMonths_2020,I155)+SUMPRODUCT(ICC4_MemberMonths_2020,N155))/Commercial_MemberMonths_2020,"NA")</f>
        <v>NA</v>
      </c>
      <c r="E155" s="143" t="str">
        <f>IFERROR(Table921[[#This Row],[2020]]/Table921[[#This Row],[2019]]-1,"NA")</f>
        <v>NA</v>
      </c>
      <c r="G155" s="82" t="s">
        <v>231</v>
      </c>
      <c r="H155" s="146" t="str">
        <f>IFERROR(-ABS(SUMIFS(RX_REBATE[[#All],[Total Pharmacy Rebate Amount]],RX_REBATE[[#All],[Reporting Year]],2019,RX_REBATE[[#All],[Insurance Category Code]],3))/ICC3_MemberMonths_2019,"NA")</f>
        <v>NA</v>
      </c>
      <c r="I155" s="146" t="str" cm="1">
        <f t="array" ref="I155">IFERROR(-ABS(SUMIFS(RX_REBATE[[#All],[Total Pharmacy Rebate Amount]],RX_REBATE[[#All],[Reporting Year]],2020,RX_REBATE[[#All],[Insurance Category Code]],3))/ICC3_MemberMonths_2020,"NA")</f>
        <v>NA</v>
      </c>
      <c r="J155" s="143" t="str">
        <f>IFERROR(Table91122[[#This Row],[2020]]/Table91122[[#This Row],[2019]]-1,"NA")</f>
        <v>NA</v>
      </c>
      <c r="L155" s="82" t="s">
        <v>231</v>
      </c>
      <c r="M155" s="146" t="str">
        <f>IFERROR(-ABS(SUMIFS(RX_REBATE[[#All],[Total Pharmacy Rebate Amount]],RX_REBATE[[#All],[Reporting Year]],2019,RX_REBATE[[#All],[Insurance Category Code]],4))/ICC4_MemberMonths_2019,"NA")</f>
        <v>NA</v>
      </c>
      <c r="N155" s="146" t="str">
        <f>IFERROR(-ABS(SUMIFS(RX_REBATE[[#All],[Total Pharmacy Rebate Amount]],RX_REBATE[[#All],[Reporting Year]],2020,RX_REBATE[[#All],[Insurance Category Code]],4))/ICC4_MemberMonths_2020,"NA")</f>
        <v>NA</v>
      </c>
      <c r="O155" s="143" t="str">
        <f>IFERROR(Table9111223[[#This Row],[2020]]/Table9111223[[#This Row],[2019]]-1,"NA")</f>
        <v>NA</v>
      </c>
    </row>
    <row r="156" spans="2:15" x14ac:dyDescent="0.35">
      <c r="B156" s="64" t="s">
        <v>98</v>
      </c>
      <c r="C156" s="146" t="str" cm="1">
        <f t="array" ref="C156">IFERROR((SUMPRODUCT(ICC3_MemberMonths_2019,H156)+SUMPRODUCT(ICC4_MemberMonths_2019,M156))/Commercial_MemberMonths_2019,"NA")</f>
        <v>NA</v>
      </c>
      <c r="D156" s="146" t="str" cm="1">
        <f t="array" ref="D156">IFERROR((SUMPRODUCT(ICC3_MemberMonths_2020,I156)+SUMPRODUCT(ICC4_MemberMonths_2020,N156))/Commercial_MemberMonths_2020,"NA")</f>
        <v>NA</v>
      </c>
      <c r="E156" s="143" t="str">
        <f>IFERROR(Table921[[#This Row],[2020]]/Table921[[#This Row],[2019]]-1,"NA")</f>
        <v>NA</v>
      </c>
      <c r="G156" s="64" t="s">
        <v>98</v>
      </c>
      <c r="H156" s="146" t="str">
        <f>IFERROR((SUMIFS(TME[[#All],[Claims: Other]],TME[[#All],[Reporting Year]],2019,TME[[#All],[Insurance Category Code]],3))/ICC3_MemberMonths_2019,"NA")</f>
        <v>NA</v>
      </c>
      <c r="I156" s="146" t="str" cm="1">
        <f t="array" ref="I156">IFERROR((SUMIFS(TME[[#All],[Claims: Other]],TME[[#All],[Reporting Year]],2020,TME[[#All],[Insurance Category Code]],3))/ICC3_MemberMonths_2020,"NA")</f>
        <v>NA</v>
      </c>
      <c r="J156" s="143" t="str">
        <f>IFERROR(Table91122[[#This Row],[2020]]/Table91122[[#This Row],[2019]]-1,"NA")</f>
        <v>NA</v>
      </c>
      <c r="L156" s="64" t="s">
        <v>98</v>
      </c>
      <c r="M156" s="146" t="str">
        <f>IFERROR((SUMIFS(TME[[#All],[Claims: Other]],TME[[#All],[Reporting Year]],2019,TME[[#All],[Insurance Category Code]],4))/ICC4_MemberMonths_2019,"NA")</f>
        <v>NA</v>
      </c>
      <c r="N156" s="146" t="str" cm="1">
        <f t="array" ref="N156">IFERROR((SUMIFS(TME[[#All],[Claims: Other]],TME[[#All],[Reporting Year]],2020,TME[[#All],[Insurance Category Code]],4))/ICC4_MemberMonths_2020,"NA")</f>
        <v>NA</v>
      </c>
      <c r="O156" s="143" t="str">
        <f>IFERROR(Table9111223[[#This Row],[2020]]/Table9111223[[#This Row],[2019]]-1,"NA")</f>
        <v>NA</v>
      </c>
    </row>
    <row r="157" spans="2:15" x14ac:dyDescent="0.35">
      <c r="B157" s="83" t="s">
        <v>204</v>
      </c>
      <c r="C157" s="147" t="str" cm="1">
        <f t="array" ref="C157">IFERROR((SUMPRODUCT(ICC3_MemberMonths_2019,H157)+SUMPRODUCT(ICC4_MemberMonths_2019,M157))/Commercial_MemberMonths_2019,"NA")</f>
        <v>NA</v>
      </c>
      <c r="D157" s="147" t="str" cm="1">
        <f t="array" ref="D157">IFERROR((SUMPRODUCT(ICC3_MemberMonths_2020,I157)+SUMPRODUCT(ICC4_MemberMonths_2020,N157))/Commercial_MemberMonths_2020,"NA")</f>
        <v>NA</v>
      </c>
      <c r="E157" s="144" t="str">
        <f>IFERROR(Table921[[#This Row],[2020]]/Table921[[#This Row],[2019]]-1,"NA")</f>
        <v>NA</v>
      </c>
      <c r="G157" s="83" t="s">
        <v>204</v>
      </c>
      <c r="H157" s="147" t="str">
        <f>IFERROR((SUMIFS(TME[[#All],[Total Non-Truncated Claims Spending]],TME[[#All],[Reporting Year]],2019,TME[[#All],[Insurance Category Code]],3))/ICC3_MemberMonths_2019,"NA")</f>
        <v>NA</v>
      </c>
      <c r="I157" s="147" t="str" cm="1">
        <f t="array" ref="I157">IFERROR((SUMIFS(TME[[#All],[Total Non-Truncated Claims Spending]],TME[[#All],[Reporting Year]],2020,TME[[#All],[Insurance Category Code]],3))/ICC3_MemberMonths_2020,"NA")</f>
        <v>NA</v>
      </c>
      <c r="J157" s="144" t="str">
        <f>IFERROR(Table91122[[#This Row],[2020]]/Table91122[[#This Row],[2019]]-1,"NA")</f>
        <v>NA</v>
      </c>
      <c r="L157" s="83" t="s">
        <v>204</v>
      </c>
      <c r="M157" s="147" t="str">
        <f>IFERROR((SUMIFS(TME[[#All],[Total Non-Truncated Claims Spending]],TME[[#All],[Reporting Year]],2019,TME[[#All],[Insurance Category Code]],4))/ICC4_MemberMonths_2019,"NA")</f>
        <v>NA</v>
      </c>
      <c r="N157" s="147" t="str">
        <f>IFERROR((SUMIFS(TME[[#All],[Total Non-Truncated Claims Spending]],TME[[#All],[Reporting Year]],2020,TME[[#All],[Insurance Category Code]],4))/ICC4_MemberMonths_2020,"NA")</f>
        <v>NA</v>
      </c>
      <c r="O157" s="144" t="str">
        <f>IFERROR(Table9111223[[#This Row],[2020]]/Table9111223[[#This Row],[2019]]-1,"NA")</f>
        <v>NA</v>
      </c>
    </row>
    <row r="158" spans="2:15" x14ac:dyDescent="0.35">
      <c r="B158" s="83" t="s">
        <v>205</v>
      </c>
      <c r="C158" s="147" t="str" cm="1">
        <f t="array" ref="C158">IFERROR((SUMPRODUCT(ICC3_MemberMonths_2019,H158)+SUMPRODUCT(ICC4_MemberMonths_2019,M158))/Commercial_MemberMonths_2019,"NA")</f>
        <v>NA</v>
      </c>
      <c r="D158" s="147" t="str" cm="1">
        <f t="array" ref="D158">IFERROR((SUMPRODUCT(ICC3_MemberMonths_2020,I158)+SUMPRODUCT(ICC4_MemberMonths_2020,N158))/Commercial_MemberMonths_2020,"NA")</f>
        <v>NA</v>
      </c>
      <c r="E158" s="144" t="str">
        <f>IFERROR(Table921[[#This Row],[2020]]/Table921[[#This Row],[2019]]-1,"NA")</f>
        <v>NA</v>
      </c>
      <c r="G158" s="83" t="s">
        <v>205</v>
      </c>
      <c r="H158" s="147" t="str">
        <f>IFERROR((SUMIFS(TME[[#All],[Total Truncated Claims Spending]],TME[[#All],[Reporting Year]],2019,TME[[#All],[Insurance Category Code]],3))/ICC3_MemberMonths_2019,"NA")</f>
        <v>NA</v>
      </c>
      <c r="I158" s="147" t="str" cm="1">
        <f t="array" ref="I158">IFERROR((SUMIFS(TME[[#All],[Total Truncated Claims Spending]],TME[[#All],[Reporting Year]],2020,TME[[#All],[Insurance Category Code]],3))/ICC3_MemberMonths_2020,"NA")</f>
        <v>NA</v>
      </c>
      <c r="J158" s="144" t="str">
        <f>IFERROR(Table91122[[#This Row],[2020]]/Table91122[[#This Row],[2019]]-1,"NA")</f>
        <v>NA</v>
      </c>
      <c r="L158" s="83" t="s">
        <v>205</v>
      </c>
      <c r="M158" s="147" t="str">
        <f>IFERROR((SUMIFS(TME[[#All],[Total Truncated Claims Spending]],TME[[#All],[Reporting Year]],2019,TME[[#All],[Insurance Category Code]],4))/ICC4_MemberMonths_2019,"NA")</f>
        <v>NA</v>
      </c>
      <c r="N158" s="147" t="str">
        <f>IFERROR((SUMIFS(TME[[#All],[Total Truncated Claims Spending]],TME[[#All],[Reporting Year]],2020,TME[[#All],[Insurance Category Code]],4))/ICC4_MemberMonths_2020,"NA")</f>
        <v>NA</v>
      </c>
      <c r="O158" s="144" t="str">
        <f>IFERROR(Table9111223[[#This Row],[2020]]/Table9111223[[#This Row],[2019]]-1,"NA")</f>
        <v>NA</v>
      </c>
    </row>
    <row r="159" spans="2:15" x14ac:dyDescent="0.35">
      <c r="B159" s="64" t="s">
        <v>99</v>
      </c>
      <c r="C159" s="146" t="str" cm="1">
        <f t="array" ref="C159">IFERROR((SUMPRODUCT(ICC3_MemberMonths_2019,H159)+SUMPRODUCT(ICC4_MemberMonths_2019,M159))/Commercial_MemberMonths_2019,"NA")</f>
        <v>NA</v>
      </c>
      <c r="D159" s="146" t="str" cm="1">
        <f t="array" ref="D159">IFERROR((SUMPRODUCT(ICC3_MemberMonths_2020,I159)+SUMPRODUCT(ICC4_MemberMonths_2020,N159))/Commercial_MemberMonths_2020,"NA")</f>
        <v>NA</v>
      </c>
      <c r="E159" s="143" t="str">
        <f>IFERROR(Table921[[#This Row],[2020]]/Table921[[#This Row],[2019]]-1,"NA")</f>
        <v>NA</v>
      </c>
      <c r="G159" s="64" t="s">
        <v>99</v>
      </c>
      <c r="H159" s="146" t="str">
        <f>IFERROR((SUMIFS(TME[[#All],[Non-Claims: Capitation or Bundled Pmts]],TME[[#All],[Reporting Year]],2019,TME[[#All],[Insurance Category Code]],3))/ICC3_MemberMonths_2019,"NA")</f>
        <v>NA</v>
      </c>
      <c r="I159" s="146" t="str" cm="1">
        <f t="array" ref="I159">IFERROR((SUMIFS(TME[[#All],[Non-Claims: Capitation or Bundled Pmts]],TME[[#All],[Reporting Year]],2020,TME[[#All],[Insurance Category Code]],3))/ICC3_MemberMonths_2020,"NA")</f>
        <v>NA</v>
      </c>
      <c r="J159" s="143" t="str">
        <f>IFERROR(Table91122[[#This Row],[2020]]/Table91122[[#This Row],[2019]]-1,"NA")</f>
        <v>NA</v>
      </c>
      <c r="L159" s="64" t="s">
        <v>99</v>
      </c>
      <c r="M159" s="146" t="str">
        <f>IFERROR((SUMIFS(TME[[#All],[Non-Claims: Capitation or Bundled Pmts]],TME[[#All],[Reporting Year]],2019,TME[[#All],[Insurance Category Code]],4))/ICC4_MemberMonths_2019,"NA")</f>
        <v>NA</v>
      </c>
      <c r="N159" s="146" t="str">
        <f>IFERROR((SUMIFS(TME[[#All],[Non-Claims: Capitation or Bundled Pmts]],TME[[#All],[Reporting Year]],2020,TME[[#All],[Insurance Category Code]],4))/ICC4_MemberMonths_2020,"NA")</f>
        <v>NA</v>
      </c>
      <c r="O159" s="143" t="str">
        <f>IFERROR(Table9111223[[#This Row],[2020]]/Table9111223[[#This Row],[2019]]-1,"NA")</f>
        <v>NA</v>
      </c>
    </row>
    <row r="160" spans="2:15" x14ac:dyDescent="0.35">
      <c r="B160" s="64" t="s">
        <v>100</v>
      </c>
      <c r="C160" s="146" t="str" cm="1">
        <f t="array" ref="C160">IFERROR((SUMPRODUCT(ICC3_MemberMonths_2019,H160)+SUMPRODUCT(ICC4_MemberMonths_2019,M160))/Commercial_MemberMonths_2019,"NA")</f>
        <v>NA</v>
      </c>
      <c r="D160" s="146" t="str" cm="1">
        <f t="array" ref="D160">IFERROR((SUMPRODUCT(ICC3_MemberMonths_2020,I160)+SUMPRODUCT(ICC4_MemberMonths_2020,N160))/Commercial_MemberMonths_2020,"NA")</f>
        <v>NA</v>
      </c>
      <c r="E160" s="143" t="str">
        <f>IFERROR(Table921[[#This Row],[2020]]/Table921[[#This Row],[2019]]-1,"NA")</f>
        <v>NA</v>
      </c>
      <c r="G160" s="64" t="s">
        <v>100</v>
      </c>
      <c r="H160" s="146" t="str">
        <f>IFERROR((SUMIFS(TME[[#All],[Non-Claims: Performance Incentive Pmts]],TME[[#All],[Reporting Year]],2019,TME[[#All],[Insurance Category Code]],3))/ICC3_MemberMonths_2019,"NA")</f>
        <v>NA</v>
      </c>
      <c r="I160" s="146" t="str" cm="1">
        <f t="array" ref="I160">IFERROR((SUMIFS(TME[[#All],[Non-Claims: Performance Incentive Pmts]],TME[[#All],[Reporting Year]],2020,TME[[#All],[Insurance Category Code]],3))/ICC3_MemberMonths_2020,"NA")</f>
        <v>NA</v>
      </c>
      <c r="J160" s="143" t="str">
        <f>IFERROR(Table91122[[#This Row],[2020]]/Table91122[[#This Row],[2019]]-1,"NA")</f>
        <v>NA</v>
      </c>
      <c r="L160" s="64" t="s">
        <v>100</v>
      </c>
      <c r="M160" s="146" t="str">
        <f>IFERROR((SUMIFS(TME[[#All],[Non-Claims: Performance Incentive Pmts]],TME[[#All],[Reporting Year]],2019,TME[[#All],[Insurance Category Code]],4))/ICC4_MemberMonths_2019,"NA")</f>
        <v>NA</v>
      </c>
      <c r="N160" s="146" t="str">
        <f>IFERROR((SUMIFS(TME[[#All],[Non-Claims: Performance Incentive Pmts]],TME[[#All],[Reporting Year]],2020,TME[[#All],[Insurance Category Code]],4))/ICC4_MemberMonths_2020,"NA")</f>
        <v>NA</v>
      </c>
      <c r="O160" s="143" t="str">
        <f>IFERROR(Table9111223[[#This Row],[2020]]/Table9111223[[#This Row],[2019]]-1,"NA")</f>
        <v>NA</v>
      </c>
    </row>
    <row r="161" spans="2:15" x14ac:dyDescent="0.35">
      <c r="B161" s="64" t="s">
        <v>101</v>
      </c>
      <c r="C161" s="146" t="str" cm="1">
        <f t="array" ref="C161">IFERROR((SUMPRODUCT(ICC3_MemberMonths_2019,H161)+SUMPRODUCT(ICC4_MemberMonths_2019,M161))/Commercial_MemberMonths_2019,"NA")</f>
        <v>NA</v>
      </c>
      <c r="D161" s="146" t="str" cm="1">
        <f t="array" ref="D161">IFERROR((SUMPRODUCT(ICC3_MemberMonths_2020,I161)+SUMPRODUCT(ICC4_MemberMonths_2020,N161))/Commercial_MemberMonths_2020,"NA")</f>
        <v>NA</v>
      </c>
      <c r="E161" s="143" t="str">
        <f>IFERROR(Table921[[#This Row],[2020]]/Table921[[#This Row],[2019]]-1,"NA")</f>
        <v>NA</v>
      </c>
      <c r="G161" s="64" t="s">
        <v>101</v>
      </c>
      <c r="H161" s="146" t="str">
        <f>IFERROR((SUMIFS(TME[[#All],[Non-Claims: Pop Health and Practice Infrastructure Pmts]],TME[[#All],[Reporting Year]],2019,TME[[#All],[Insurance Category Code]],3))/ICC3_MemberMonths_2019,"NA")</f>
        <v>NA</v>
      </c>
      <c r="I161" s="146" t="str" cm="1">
        <f t="array" ref="I161">IFERROR((SUMIFS(TME[[#All],[Non-Claims: Pop Health and Practice Infrastructure Pmts]],TME[[#All],[Reporting Year]],2020,TME[[#All],[Insurance Category Code]],3))/ICC3_MemberMonths_2020,"NA")</f>
        <v>NA</v>
      </c>
      <c r="J161" s="143" t="str">
        <f>IFERROR(Table91122[[#This Row],[2020]]/Table91122[[#This Row],[2019]]-1,"NA")</f>
        <v>NA</v>
      </c>
      <c r="L161" s="64" t="s">
        <v>101</v>
      </c>
      <c r="M161" s="146" t="str">
        <f>IFERROR((SUMIFS(TME[[#All],[Non-Claims: Pop Health and Practice Infrastructure Pmts]],TME[[#All],[Reporting Year]],2019,TME[[#All],[Insurance Category Code]],4))/ICC4_MemberMonths_2019,"NA")</f>
        <v>NA</v>
      </c>
      <c r="N161" s="146" t="str">
        <f>IFERROR((SUMIFS(TME[[#All],[Non-Claims: Pop Health and Practice Infrastructure Pmts]],TME[[#All],[Reporting Year]],2020,TME[[#All],[Insurance Category Code]],4))/ICC4_MemberMonths_2020,"NA")</f>
        <v>NA</v>
      </c>
      <c r="O161" s="143" t="str">
        <f>IFERROR(Table9111223[[#This Row],[2020]]/Table9111223[[#This Row],[2019]]-1,"NA")</f>
        <v>NA</v>
      </c>
    </row>
    <row r="162" spans="2:15" x14ac:dyDescent="0.35">
      <c r="B162" s="64" t="s">
        <v>102</v>
      </c>
      <c r="C162" s="146" t="str" cm="1">
        <f t="array" ref="C162">IFERROR((SUMPRODUCT(ICC3_MemberMonths_2019,H162)+SUMPRODUCT(ICC4_MemberMonths_2019,M162))/Commercial_MemberMonths_2019,"NA")</f>
        <v>NA</v>
      </c>
      <c r="D162" s="146" t="str" cm="1">
        <f t="array" ref="D162">IFERROR((SUMPRODUCT(ICC3_MemberMonths_2020,I162)+SUMPRODUCT(ICC4_MemberMonths_2020,N162))/Commercial_MemberMonths_2020,"NA")</f>
        <v>NA</v>
      </c>
      <c r="E162" s="143" t="str">
        <f>IFERROR(Table921[[#This Row],[2020]]/Table921[[#This Row],[2019]]-1,"NA")</f>
        <v>NA</v>
      </c>
      <c r="G162" s="64" t="s">
        <v>102</v>
      </c>
      <c r="H162" s="146" t="str">
        <f>IFERROR((SUMIFS(TME[[#All],[Non-Claims: Provider Salaries]],TME[[#All],[Reporting Year]],2019,TME[[#All],[Insurance Category Code]],3))/ICC3_MemberMonths_2019,"NA")</f>
        <v>NA</v>
      </c>
      <c r="I162" s="146" t="str" cm="1">
        <f t="array" ref="I162">IFERROR((SUMIFS(TME[[#All],[Non-Claims: Provider Salaries]],TME[[#All],[Reporting Year]],2020,TME[[#All],[Insurance Category Code]],3))/ICC3_MemberMonths_2020,"NA")</f>
        <v>NA</v>
      </c>
      <c r="J162" s="143" t="str">
        <f>IFERROR(Table91122[[#This Row],[2020]]/Table91122[[#This Row],[2019]]-1,"NA")</f>
        <v>NA</v>
      </c>
      <c r="L162" s="64" t="s">
        <v>102</v>
      </c>
      <c r="M162" s="146" t="str">
        <f>IFERROR((SUMIFS(TME[[#All],[Non-Claims: Provider Salaries]],TME[[#All],[Reporting Year]],2019,TME[[#All],[Insurance Category Code]],4))/ICC4_MemberMonths_2019,"NA")</f>
        <v>NA</v>
      </c>
      <c r="N162" s="146" t="str">
        <f>IFERROR((SUMIFS(TME[[#All],[Non-Claims: Provider Salaries]],TME[[#All],[Reporting Year]],2020,TME[[#All],[Insurance Category Code]],4))/ICC4_MemberMonths_2020,"NA")</f>
        <v>NA</v>
      </c>
      <c r="O162" s="143" t="str">
        <f>IFERROR(Table9111223[[#This Row],[2020]]/Table9111223[[#This Row],[2019]]-1,"NA")</f>
        <v>NA</v>
      </c>
    </row>
    <row r="163" spans="2:15" x14ac:dyDescent="0.35">
      <c r="B163" s="64" t="s">
        <v>103</v>
      </c>
      <c r="C163" s="146" t="str" cm="1">
        <f t="array" ref="C163">IFERROR((SUMPRODUCT(ICC3_MemberMonths_2019,H163)+SUMPRODUCT(ICC4_MemberMonths_2019,M163))/Commercial_MemberMonths_2019,"NA")</f>
        <v>NA</v>
      </c>
      <c r="D163" s="146" t="str" cm="1">
        <f t="array" ref="D163">IFERROR((SUMPRODUCT(ICC3_MemberMonths_2020,I163)+SUMPRODUCT(ICC4_MemberMonths_2020,N163))/Commercial_MemberMonths_2020,"NA")</f>
        <v>NA</v>
      </c>
      <c r="E163" s="143" t="str">
        <f>IFERROR(Table921[[#This Row],[2020]]/Table921[[#This Row],[2019]]-1,"NA")</f>
        <v>NA</v>
      </c>
      <c r="G163" s="64" t="s">
        <v>103</v>
      </c>
      <c r="H163" s="146" t="str">
        <f>IFERROR((SUMIFS(TME[[#All],[Non-Claims: Recovery]],TME[[#All],[Reporting Year]],2019,TME[[#All],[Insurance Category Code]],3))/ICC3_MemberMonths_2019,"NA")</f>
        <v>NA</v>
      </c>
      <c r="I163" s="146" t="str" cm="1">
        <f t="array" ref="I163">IFERROR((SUMIFS(TME[[#All],[Non-Claims: Recovery]],TME[[#All],[Reporting Year]],2020,TME[[#All],[Insurance Category Code]],3))/ICC3_MemberMonths_2020,"NA")</f>
        <v>NA</v>
      </c>
      <c r="J163" s="143" t="str">
        <f>IFERROR(Table91122[[#This Row],[2020]]/Table91122[[#This Row],[2019]]-1,"NA")</f>
        <v>NA</v>
      </c>
      <c r="L163" s="64" t="s">
        <v>103</v>
      </c>
      <c r="M163" s="146" t="str">
        <f>IFERROR((SUMIFS(TME[[#All],[Non-Claims: Recovery]],TME[[#All],[Reporting Year]],2019,TME[[#All],[Insurance Category Code]],4))/ICC4_MemberMonths_2019,"NA")</f>
        <v>NA</v>
      </c>
      <c r="N163" s="146" t="str">
        <f>IFERROR((SUMIFS(TME[[#All],[Non-Claims: Recovery]],TME[[#All],[Reporting Year]],2020,TME[[#All],[Insurance Category Code]],4))/ICC4_MemberMonths_2020,"NA")</f>
        <v>NA</v>
      </c>
      <c r="O163" s="143" t="str">
        <f>IFERROR(Table9111223[[#This Row],[2020]]/Table9111223[[#This Row],[2019]]-1,"NA")</f>
        <v>NA</v>
      </c>
    </row>
    <row r="164" spans="2:15" x14ac:dyDescent="0.35">
      <c r="B164" s="64" t="s">
        <v>104</v>
      </c>
      <c r="C164" s="146" t="str" cm="1">
        <f t="array" ref="C164">IFERROR((SUMPRODUCT(ICC3_MemberMonths_2019,H164)+SUMPRODUCT(ICC4_MemberMonths_2019,M164))/Commercial_MemberMonths_2019,"NA")</f>
        <v>NA</v>
      </c>
      <c r="D164" s="146" t="str" cm="1">
        <f t="array" ref="D164">IFERROR((SUMPRODUCT(ICC3_MemberMonths_2020,I164)+SUMPRODUCT(ICC4_MemberMonths_2020,N164))/Commercial_MemberMonths_2020,"NA")</f>
        <v>NA</v>
      </c>
      <c r="E164" s="143" t="str">
        <f>IFERROR(Table921[[#This Row],[2020]]/Table921[[#This Row],[2019]]-1,"NA")</f>
        <v>NA</v>
      </c>
      <c r="G164" s="64" t="s">
        <v>104</v>
      </c>
      <c r="H164" s="146" t="str">
        <f>IFERROR((SUMIFS(TME[[#All],[Non-Claims: Other]],TME[[#All],[Reporting Year]],2019,TME[[#All],[Insurance Category Code]],3))/ICC3_MemberMonths_2019,"NA")</f>
        <v>NA</v>
      </c>
      <c r="I164" s="146" t="str" cm="1">
        <f t="array" ref="I164">IFERROR((SUMIFS(TME[[#All],[Non-Claims: Other]],TME[[#All],[Reporting Year]],2020,TME[[#All],[Insurance Category Code]],3))/ICC3_MemberMonths_2020,"NA")</f>
        <v>NA</v>
      </c>
      <c r="J164" s="143" t="str">
        <f>IFERROR(Table91122[[#This Row],[2020]]/Table91122[[#This Row],[2019]]-1,"NA")</f>
        <v>NA</v>
      </c>
      <c r="L164" s="64" t="s">
        <v>104</v>
      </c>
      <c r="M164" s="146" t="str">
        <f>IFERROR((SUMIFS(TME[[#All],[Non-Claims: Other]],TME[[#All],[Reporting Year]],2019,TME[[#All],[Insurance Category Code]],4))/ICC4_MemberMonths_2019,"NA")</f>
        <v>NA</v>
      </c>
      <c r="N164" s="146" t="str">
        <f>IFERROR((SUMIFS(TME[[#All],[Non-Claims: Other]],TME[[#All],[Reporting Year]],2020,TME[[#All],[Insurance Category Code]],4))/ICC4_MemberMonths_2020,"NA")</f>
        <v>NA</v>
      </c>
      <c r="O164" s="143" t="str">
        <f>IFERROR(Table9111223[[#This Row],[2020]]/Table9111223[[#This Row],[2019]]-1,"NA")</f>
        <v>NA</v>
      </c>
    </row>
    <row r="165" spans="2:15" x14ac:dyDescent="0.35">
      <c r="B165" s="64" t="s">
        <v>266</v>
      </c>
      <c r="C165" s="146" t="str" cm="1">
        <f t="array" ref="C165">IFERROR((SUMPRODUCT(ICC3_MemberMonths_2019,H165)+SUMPRODUCT(ICC4_MemberMonths_2019,M165))/Commercial_MemberMonths_2019,"NA")</f>
        <v>NA</v>
      </c>
      <c r="D165" s="146" t="str" cm="1">
        <f t="array" ref="D165">IFERROR((SUMPRODUCT(ICC3_MemberMonths_2020,I165)+SUMPRODUCT(ICC4_MemberMonths_2020,N165))/Commercial_MemberMonths_2020,"NA")</f>
        <v>NA</v>
      </c>
      <c r="E165" s="143" t="str">
        <f>IFERROR(Table921[[#This Row],[2020]]/Table921[[#This Row],[2019]]-1,"NA")</f>
        <v>NA</v>
      </c>
      <c r="G165" s="64" t="s">
        <v>266</v>
      </c>
      <c r="H165" s="146" t="str">
        <f>IFERROR((SUMIFS(TME[[#All],[Non-Claims: Total Primary Care Non-Claims-Based Payments]],TME[[#All],[Reporting Year]],2019,TME[[#All],[Insurance Category Code]],3))/ICC3_MemberMonths_2019,"NA")</f>
        <v>NA</v>
      </c>
      <c r="I165" s="146" t="str" cm="1">
        <f t="array" ref="I165">IFERROR((SUMIFS(TME[[#All],[Non-Claims: Total Primary Care Non-Claims-Based Payments]],TME[[#All],[Reporting Year]],2020,TME[[#All],[Insurance Category Code]],3))/ICC3_MemberMonths_2020,"NA")</f>
        <v>NA</v>
      </c>
      <c r="J165" s="143" t="str">
        <f>IFERROR(Table91122[[#This Row],[2020]]/Table91122[[#This Row],[2019]]-1,"NA")</f>
        <v>NA</v>
      </c>
      <c r="L165" s="64" t="s">
        <v>266</v>
      </c>
      <c r="M165" s="146" t="str">
        <f>IFERROR((SUMIFS(TME[[#All],[Non-Claims: Total Primary Care Non-Claims-Based Payments]],TME[[#All],[Reporting Year]],2019,TME[[#All],[Insurance Category Code]],4))/ICC4_MemberMonths_2019,"NA")</f>
        <v>NA</v>
      </c>
      <c r="N165" s="146" t="str">
        <f>IFERROR((SUMIFS(TME[[#All],[Non-Claims: Total Primary Care Non-Claims-Based Payments]],TME[[#All],[Reporting Year]],2020,TME[[#All],[Insurance Category Code]],4))/ICC4_MemberMonths_2020,"NA")</f>
        <v>NA</v>
      </c>
      <c r="O165" s="143" t="str">
        <f>IFERROR(Table9111223[[#This Row],[2020]]/Table9111223[[#This Row],[2019]]-1,"NA")</f>
        <v>NA</v>
      </c>
    </row>
    <row r="166" spans="2:15" x14ac:dyDescent="0.35">
      <c r="B166" s="83" t="s">
        <v>232</v>
      </c>
      <c r="C166" s="147" t="str" cm="1">
        <f t="array" ref="C166">IFERROR((SUMPRODUCT(ICC3_MemberMonths_2019,H166)+SUMPRODUCT(ICC4_MemberMonths_2019,M166))/Commercial_MemberMonths_2019,"NA")</f>
        <v>NA</v>
      </c>
      <c r="D166" s="147" t="str" cm="1">
        <f t="array" ref="D166">IFERROR((SUMPRODUCT(ICC3_MemberMonths_2020,I166)+SUMPRODUCT(ICC4_MemberMonths_2020,N166))/Commercial_MemberMonths_2020,"NA")</f>
        <v>NA</v>
      </c>
      <c r="E166" s="143" t="str">
        <f>IFERROR(Table921[[#This Row],[2020]]/Table921[[#This Row],[2019]]-1,"NA")</f>
        <v>NA</v>
      </c>
      <c r="G166" s="83" t="s">
        <v>232</v>
      </c>
      <c r="H166" s="147" t="str">
        <f>IFERROR((SUMIFS(TME[[#All],[Total Non-Claims Spending]],TME[[#All],[Reporting Year]],2019,TME[[#All],[Insurance Category Code]],3))/ICC3_MemberMonths_2019,"NA")</f>
        <v>NA</v>
      </c>
      <c r="I166" s="147" t="str" cm="1">
        <f t="array" ref="I166">IFERROR((SUMIFS(TME[[#All],[Total Non-Claims Spending]],TME[[#All],[Reporting Year]],2020,TME[[#All],[Insurance Category Code]],3))/ICC3_MemberMonths_2020,"NA")</f>
        <v>NA</v>
      </c>
      <c r="J166" s="143" t="str">
        <f>IFERROR(Table91122[[#This Row],[2020]]/Table91122[[#This Row],[2019]]-1,"NA")</f>
        <v>NA</v>
      </c>
      <c r="L166" s="83" t="s">
        <v>232</v>
      </c>
      <c r="M166" s="147" t="str">
        <f>IFERROR((SUMIFS(TME[[#All],[Total Non-Claims Spending]],TME[[#All],[Reporting Year]],2019,TME[[#All],[Insurance Category Code]],4))/ICC4_MemberMonths_2019,"NA")</f>
        <v>NA</v>
      </c>
      <c r="N166" s="147" t="str">
        <f>IFERROR((SUMIFS(TME[[#All],[Total Non-Claims Spending]],TME[[#All],[Reporting Year]],2020,TME[[#All],[Insurance Category Code]],4))/ICC4_MemberMonths_2020,"NA")</f>
        <v>NA</v>
      </c>
      <c r="O166" s="143" t="str">
        <f>IFERROR(Table9111223[[#This Row],[2020]]/Table9111223[[#This Row],[2019]]-1,"NA")</f>
        <v>NA</v>
      </c>
    </row>
    <row r="167" spans="2:15" x14ac:dyDescent="0.35">
      <c r="B167" s="84" t="s">
        <v>233</v>
      </c>
      <c r="C167" s="148" t="str" cm="1">
        <f t="array" ref="C167">IFERROR((SUMPRODUCT(ICC3_MemberMonths_2019,H167)+SUMPRODUCT(ICC4_MemberMonths_2019,M167))/Commercial_MemberMonths_2019,"NA")</f>
        <v>NA</v>
      </c>
      <c r="D167" s="148" t="str" cm="1">
        <f t="array" ref="D167">IFERROR((SUMPRODUCT(ICC3_MemberMonths_2020,I167)+SUMPRODUCT(ICC4_MemberMonths_2020,N167))/Commercial_MemberMonths_2020,"NA")</f>
        <v>NA</v>
      </c>
      <c r="E167" s="145" t="str">
        <f>IFERROR(Table921[[#This Row],[2020]]/Table921[[#This Row],[2019]]-1,"NA")</f>
        <v>NA</v>
      </c>
      <c r="G167" s="84" t="s">
        <v>233</v>
      </c>
      <c r="H167" s="148" t="str">
        <f>IFERROR((SUMIFS(TME[[#All],[Total Non-Truncated Claims and Non-Claims Spending]],TME[[#All],[Reporting Year]],2019,TME[[#All],[Insurance Category Code]],3))/ICC3_MemberMonths_2019,"NA")</f>
        <v>NA</v>
      </c>
      <c r="I167" s="148" t="str" cm="1">
        <f t="array" ref="I167">IFERROR((SUMIFS(TME[[#All],[Total Non-Truncated Claims and Non-Claims Spending]],TME[[#All],[Reporting Year]],2020,TME[[#All],[Insurance Category Code]],3))/ICC3_MemberMonths_2020,"NA")</f>
        <v>NA</v>
      </c>
      <c r="J167" s="145" t="str">
        <f>IFERROR(Table91122[[#This Row],[2020]]/Table91122[[#This Row],[2019]]-1,"NA")</f>
        <v>NA</v>
      </c>
      <c r="L167" s="84" t="s">
        <v>233</v>
      </c>
      <c r="M167" s="148" t="str">
        <f>IFERROR((SUMIFS(TME[[#All],[Total Non-Truncated Claims and Non-Claims Spending]],TME[[#All],[Reporting Year]],2019,TME[[#All],[Insurance Category Code]],4))/ICC4_MemberMonths_2019,"NA")</f>
        <v>NA</v>
      </c>
      <c r="N167" s="148" t="str">
        <f>IFERROR((SUMIFS(TME[[#All],[Total Non-Truncated Claims and Non-Claims Spending]],TME[[#All],[Reporting Year]],2020,TME[[#All],[Insurance Category Code]],4))/ICC4_MemberMonths_2020,"NA")</f>
        <v>NA</v>
      </c>
      <c r="O167" s="145" t="str">
        <f>IFERROR(Table9111223[[#This Row],[2020]]/Table9111223[[#This Row],[2019]]-1,"NA")</f>
        <v>NA</v>
      </c>
    </row>
    <row r="168" spans="2:15" x14ac:dyDescent="0.35">
      <c r="B168" s="85" t="s">
        <v>234</v>
      </c>
      <c r="C168" s="148" t="str" cm="1">
        <f t="array" ref="C168">IFERROR((SUMPRODUCT(ICC3_MemberMonths_2019,H168)+SUMPRODUCT(ICC4_MemberMonths_2019,M168))/Commercial_MemberMonths_2019,"NA")</f>
        <v>NA</v>
      </c>
      <c r="D168" s="148" t="str" cm="1">
        <f t="array" ref="D168">IFERROR((SUMPRODUCT(ICC3_MemberMonths_2020,I168)+SUMPRODUCT(ICC4_MemberMonths_2020,N168))/Commercial_MemberMonths_2020,"NA")</f>
        <v>NA</v>
      </c>
      <c r="E168" s="145" t="str">
        <f>IFERROR(Table921[[#This Row],[2020]]/Table921[[#This Row],[2019]]-1,"NA")</f>
        <v>NA</v>
      </c>
      <c r="G168" s="85" t="s">
        <v>234</v>
      </c>
      <c r="H168" s="148" t="str">
        <f>IFERROR((SUMIFS(TME[[#All],[Truncated Total Expenses (Total Truncated Claims Expenses + Non-Claims Expenses)]],TME[[#All],[Reporting Year]],2019,TME[[#All],[Insurance Category Code]],3))/ICC3_MemberMonths_2019,"NA")</f>
        <v>NA</v>
      </c>
      <c r="I168" s="148" t="str" cm="1">
        <f t="array" ref="I168">IFERROR((SUMIFS(TME[[#All],[Truncated Total Expenses (Total Truncated Claims Expenses + Non-Claims Expenses)]],TME[[#All],[Reporting Year]],2020,TME[[#All],[Insurance Category Code]],3))/ICC3_MemberMonths_2020,"NA")</f>
        <v>NA</v>
      </c>
      <c r="J168" s="145" t="str">
        <f>IFERROR(Table91122[[#This Row],[2020]]/Table91122[[#This Row],[2019]]-1,"NA")</f>
        <v>NA</v>
      </c>
      <c r="L168" s="85" t="s">
        <v>234</v>
      </c>
      <c r="M168" s="148" t="str">
        <f>IFERROR((SUMIFS(TME[[#All],[Truncated Total Expenses (Total Truncated Claims Expenses + Non-Claims Expenses)]],TME[[#All],[Reporting Year]],2019,TME[[#All],[Insurance Category Code]],4))/ICC4_MemberMonths_2019,"NA")</f>
        <v>NA</v>
      </c>
      <c r="N168" s="148" t="str">
        <f>IFERROR((SUMIFS(TME[[#All],[Truncated Total Expenses (Total Truncated Claims Expenses + Non-Claims Expenses)]],TME[[#All],[Reporting Year]],2020,TME[[#All],[Insurance Category Code]],4))/ICC4_MemberMonths_2020,"NA")</f>
        <v>NA</v>
      </c>
      <c r="O168" s="145" t="str">
        <f>IFERROR(Table9111223[[#This Row],[2020]]/Table9111223[[#This Row],[2019]]-1,"NA")</f>
        <v>NA</v>
      </c>
    </row>
    <row r="170" spans="2:15" x14ac:dyDescent="0.35">
      <c r="B170" s="71" t="s">
        <v>314</v>
      </c>
      <c r="G170" s="71" t="s">
        <v>315</v>
      </c>
      <c r="L170" s="71" t="s">
        <v>316</v>
      </c>
    </row>
    <row r="171" spans="2:15" x14ac:dyDescent="0.35">
      <c r="B171" s="70" t="s">
        <v>307</v>
      </c>
      <c r="G171" s="70" t="s">
        <v>307</v>
      </c>
      <c r="L171" s="70" t="s">
        <v>307</v>
      </c>
    </row>
    <row r="172" spans="2:15" x14ac:dyDescent="0.35">
      <c r="B172" s="69" t="s">
        <v>228</v>
      </c>
      <c r="C172" s="149" t="s">
        <v>212</v>
      </c>
      <c r="D172" s="149" t="s">
        <v>283</v>
      </c>
      <c r="E172" s="150" t="s">
        <v>213</v>
      </c>
      <c r="G172" s="69" t="s">
        <v>228</v>
      </c>
      <c r="H172" s="149" t="s">
        <v>212</v>
      </c>
      <c r="I172" s="149" t="s">
        <v>283</v>
      </c>
      <c r="J172" s="150" t="s">
        <v>213</v>
      </c>
      <c r="L172" s="69" t="s">
        <v>228</v>
      </c>
      <c r="M172" s="149" t="s">
        <v>212</v>
      </c>
      <c r="N172" s="149" t="s">
        <v>283</v>
      </c>
      <c r="O172" s="150" t="s">
        <v>213</v>
      </c>
    </row>
    <row r="173" spans="2:15" x14ac:dyDescent="0.35">
      <c r="B173" s="64" t="s">
        <v>90</v>
      </c>
      <c r="C173" s="141">
        <f>SUM(H173,M173)</f>
        <v>0</v>
      </c>
      <c r="D173" s="141">
        <f>SUM(I173,N173)</f>
        <v>0</v>
      </c>
      <c r="E173" s="143" t="str">
        <f>IFERROR(Table91324[[#This Row],[2020]]/Table91324[[#This Row],[2019]]-1,"NA")</f>
        <v>NA</v>
      </c>
      <c r="G173" s="64" t="s">
        <v>90</v>
      </c>
      <c r="H173" s="141">
        <f>SUMIFS(TME[[#All],[Member Months]],TME[[#All],[Reporting Year]],2019,TME[[#All],[Insurance Category Code]],1)</f>
        <v>0</v>
      </c>
      <c r="I173" s="141">
        <f>SUMIFS(TME[[#All],[Member Months]],TME[[#All],[Reporting Year]],2020,TME[[#All],[Insurance Category Code]],1)</f>
        <v>0</v>
      </c>
      <c r="J173" s="143" t="str">
        <f>IFERROR(Table9111425[[#This Row],[2020]]/Table9111425[[#This Row],[2019]]-1,"NA")</f>
        <v>NA</v>
      </c>
      <c r="L173" s="64" t="s">
        <v>90</v>
      </c>
      <c r="M173" s="141">
        <f>SUMIFS(TME[[#All],[Member Months]],TME[[#All],[Reporting Year]],2019,TME[[#All],[Insurance Category Code]],5)</f>
        <v>0</v>
      </c>
      <c r="N173" s="141">
        <f>SUMIFS(TME[[#All],[Member Months]],TME[[#All],[Reporting Year]],2020,TME[[#All],[Insurance Category Code]],5)</f>
        <v>0</v>
      </c>
      <c r="O173" s="143" t="str">
        <f>IFERROR(Table911121526[[#This Row],[2020]]/Table911121526[[#This Row],[2019]]-1,"NA")</f>
        <v>NA</v>
      </c>
    </row>
    <row r="174" spans="2:15" x14ac:dyDescent="0.35">
      <c r="B174" s="64" t="s">
        <v>91</v>
      </c>
      <c r="C174" s="146" t="str">
        <f t="shared" ref="C174:C195" si="6">IFERROR((SUMPRODUCT(ICC1_MemberMonths_2019,H174)+SUMPRODUCT(ICC5_MemberMonths_2019,M174))/Medicare_MemberMonths_2019,"NA")</f>
        <v>NA</v>
      </c>
      <c r="D174" s="146" t="str">
        <f t="shared" ref="D174:D195" si="7">IFERROR((SUMPRODUCT(ICC1_MemberMonths_2020,I174)+SUMPRODUCT(ICC5_MemberMonths_2020,N174))/Medicare_MemberMonths_2020,"NA")</f>
        <v>NA</v>
      </c>
      <c r="E174" s="143" t="str">
        <f>IFERROR(Table91324[[#This Row],[2020]]/Table91324[[#This Row],[2019]]-1,"NA")</f>
        <v>NA</v>
      </c>
      <c r="G174" s="64" t="s">
        <v>91</v>
      </c>
      <c r="H174" s="146" t="str">
        <f>IFERROR((SUMIFS(TME[[#All],[Claims: Hospital Inpatient]],TME[[#All],[Reporting Year]],2019,TME[[#All],[Insurance Category Code]],1))/ICC1_MemberMonths_2019,"NA")</f>
        <v>NA</v>
      </c>
      <c r="I174" s="146" t="str" cm="1">
        <f t="array" ref="I174">IFERROR((SUMIFS(TME[[#All],[Claims: Hospital Inpatient]],TME[[#All],[Reporting Year]],2020,TME[[#All],[Insurance Category Code]],1))/ICC1_MemberMonths_2020,"NA")</f>
        <v>NA</v>
      </c>
      <c r="J174" s="143" t="str">
        <f>IFERROR(Table9111425[[#This Row],[2020]]/Table9111425[[#This Row],[2019]]-1,"NA")</f>
        <v>NA</v>
      </c>
      <c r="L174" s="64" t="s">
        <v>91</v>
      </c>
      <c r="M174" s="146" t="str">
        <f>IFERROR((SUMIFS(TME[[#All],[Claims: Hospital Inpatient]],TME[[#All],[Reporting Year]],2019,TME[[#All],[Insurance Category Code]],5))/ICC5_MemberMonths_2019,"NA")</f>
        <v>NA</v>
      </c>
      <c r="N174" s="146" t="str" cm="1">
        <f t="array" ref="N174">IFERROR((SUMIFS(TME[[#All],[Claims: Hospital Inpatient]],TME[[#All],[Reporting Year]],2020,TME[[#All],[Insurance Category Code]],5))/ICC5_MemberMonths_2020,"NA")</f>
        <v>NA</v>
      </c>
      <c r="O174" s="143" t="str">
        <f>IFERROR(Table911121526[[#This Row],[2020]]/Table911121526[[#This Row],[2019]]-1,"NA")</f>
        <v>NA</v>
      </c>
    </row>
    <row r="175" spans="2:15" x14ac:dyDescent="0.35">
      <c r="B175" s="64" t="s">
        <v>92</v>
      </c>
      <c r="C175" s="146" t="str">
        <f t="shared" si="6"/>
        <v>NA</v>
      </c>
      <c r="D175" s="146" t="str">
        <f t="shared" si="7"/>
        <v>NA</v>
      </c>
      <c r="E175" s="143" t="str">
        <f>IFERROR(Table91324[[#This Row],[2020]]/Table91324[[#This Row],[2019]]-1,"NA")</f>
        <v>NA</v>
      </c>
      <c r="F175" s="37"/>
      <c r="G175" s="64" t="s">
        <v>92</v>
      </c>
      <c r="H175" s="146" t="str">
        <f>IFERROR((SUMIFS(TME[[#All],[Claims: Hospital Outpatient]],TME[[#All],[Reporting Year]],2019,TME[[#All],[Insurance Category Code]],1))/ICC1_MemberMonths_2019,"NA")</f>
        <v>NA</v>
      </c>
      <c r="I175" s="146" t="str" cm="1">
        <f t="array" ref="I175">IFERROR((SUMIFS(TME[[#All],[Claims: Hospital Outpatient]],TME[[#All],[Reporting Year]],2020,TME[[#All],[Insurance Category Code]],1))/ICC1_MemberMonths_2020,"NA")</f>
        <v>NA</v>
      </c>
      <c r="J175" s="143" t="str">
        <f>IFERROR(Table9111425[[#This Row],[2020]]/Table9111425[[#This Row],[2019]]-1,"NA")</f>
        <v>NA</v>
      </c>
      <c r="L175" s="64" t="s">
        <v>92</v>
      </c>
      <c r="M175" s="146" t="str">
        <f>IFERROR((SUMIFS(TME[[#All],[Claims: Hospital Outpatient]],TME[[#All],[Reporting Year]],2019,TME[[#All],[Insurance Category Code]],5))/ICC5_MemberMonths_2019,"NA")</f>
        <v>NA</v>
      </c>
      <c r="N175" s="146" t="str" cm="1">
        <f t="array" ref="N175">IFERROR((SUMIFS(TME[[#All],[Claims: Hospital Outpatient]],TME[[#All],[Reporting Year]],2020,TME[[#All],[Insurance Category Code]],5))/ICC5_MemberMonths_2020,"NA")</f>
        <v>NA</v>
      </c>
      <c r="O175" s="143" t="str">
        <f>IFERROR(Table911121526[[#This Row],[2020]]/Table911121526[[#This Row],[2019]]-1,"NA")</f>
        <v>NA</v>
      </c>
    </row>
    <row r="176" spans="2:15" x14ac:dyDescent="0.35">
      <c r="B176" s="64" t="s">
        <v>93</v>
      </c>
      <c r="C176" s="146" t="str">
        <f t="shared" si="6"/>
        <v>NA</v>
      </c>
      <c r="D176" s="146" t="str">
        <f t="shared" si="7"/>
        <v>NA</v>
      </c>
      <c r="E176" s="143" t="str">
        <f>IFERROR(Table91324[[#This Row],[2020]]/Table91324[[#This Row],[2019]]-1,"NA")</f>
        <v>NA</v>
      </c>
      <c r="G176" s="64" t="s">
        <v>93</v>
      </c>
      <c r="H176" s="146" t="str">
        <f>IFERROR((SUMIFS(TME[[#All],[Claims: Professional, Primary Care Providers]],TME[[#All],[Reporting Year]],2019,TME[[#All],[Insurance Category Code]],1))/ICC1_MemberMonths_2019,"NA")</f>
        <v>NA</v>
      </c>
      <c r="I176" s="146" t="str" cm="1">
        <f t="array" ref="I176">IFERROR((SUMIFS(TME[[#All],[Claims: Professional, Primary Care Providers]],TME[[#All],[Reporting Year]],2020,TME[[#All],[Insurance Category Code]],1))/ICC1_MemberMonths_2020,"NA")</f>
        <v>NA</v>
      </c>
      <c r="J176" s="143" t="str">
        <f>IFERROR(Table9111425[[#This Row],[2020]]/Table9111425[[#This Row],[2019]]-1,"NA")</f>
        <v>NA</v>
      </c>
      <c r="L176" s="64" t="s">
        <v>93</v>
      </c>
      <c r="M176" s="146" t="str">
        <f>IFERROR((SUMIFS(TME[[#All],[Claims: Professional, Primary Care Providers]],TME[[#All],[Reporting Year]],2019,TME[[#All],[Insurance Category Code]],5))/ICC5_MemberMonths_2019,"NA")</f>
        <v>NA</v>
      </c>
      <c r="N176" s="146" t="str" cm="1">
        <f t="array" ref="N176">IFERROR((SUMIFS(TME[[#All],[Claims: Professional, Primary Care Providers]],TME[[#All],[Reporting Year]],2020,TME[[#All],[Insurance Category Code]],5))/ICC5_MemberMonths_2020,"NA")</f>
        <v>NA</v>
      </c>
      <c r="O176" s="143" t="str">
        <f>IFERROR(Table911121526[[#This Row],[2020]]/Table911121526[[#This Row],[2019]]-1,"NA")</f>
        <v>NA</v>
      </c>
    </row>
    <row r="177" spans="2:15" x14ac:dyDescent="0.35">
      <c r="B177" s="64" t="s">
        <v>94</v>
      </c>
      <c r="C177" s="146" t="str">
        <f t="shared" si="6"/>
        <v>NA</v>
      </c>
      <c r="D177" s="146" t="str">
        <f t="shared" si="7"/>
        <v>NA</v>
      </c>
      <c r="E177" s="143" t="str">
        <f>IFERROR(Table91324[[#This Row],[2020]]/Table91324[[#This Row],[2019]]-1,"NA")</f>
        <v>NA</v>
      </c>
      <c r="G177" s="64" t="s">
        <v>94</v>
      </c>
      <c r="H177" s="146" t="str">
        <f>IFERROR((SUMIFS(TME[[#All],[Claims: Professional, Specialty Providers]],TME[[#All],[Reporting Year]],2019,TME[[#All],[Insurance Category Code]],1))/ICC1_MemberMonths_2019,"NA")</f>
        <v>NA</v>
      </c>
      <c r="I177" s="146" t="str" cm="1">
        <f t="array" ref="I177">IFERROR((SUMIFS(TME[[#All],[Claims: Professional, Specialty Providers]],TME[[#All],[Reporting Year]],2020,TME[[#All],[Insurance Category Code]],1))/ICC1_MemberMonths_2020,"NA")</f>
        <v>NA</v>
      </c>
      <c r="J177" s="143" t="str">
        <f>IFERROR(Table9111425[[#This Row],[2020]]/Table9111425[[#This Row],[2019]]-1,"NA")</f>
        <v>NA</v>
      </c>
      <c r="L177" s="64" t="s">
        <v>94</v>
      </c>
      <c r="M177" s="146" t="str">
        <f>IFERROR((SUMIFS(TME[[#All],[Claims: Professional, Specialty Providers]],TME[[#All],[Reporting Year]],2019,TME[[#All],[Insurance Category Code]],5))/ICC5_MemberMonths_2019,"NA")</f>
        <v>NA</v>
      </c>
      <c r="N177" s="146" t="str" cm="1">
        <f t="array" ref="N177">IFERROR((SUMIFS(TME[[#All],[Claims: Professional, Specialty Providers]],TME[[#All],[Reporting Year]],2020,TME[[#All],[Insurance Category Code]],5))/ICC5_MemberMonths_2020,"NA")</f>
        <v>NA</v>
      </c>
      <c r="O177" s="143" t="str">
        <f>IFERROR(Table911121526[[#This Row],[2020]]/Table911121526[[#This Row],[2019]]-1,"NA")</f>
        <v>NA</v>
      </c>
    </row>
    <row r="178" spans="2:15" x14ac:dyDescent="0.35">
      <c r="B178" s="64" t="s">
        <v>95</v>
      </c>
      <c r="C178" s="146" t="str">
        <f t="shared" si="6"/>
        <v>NA</v>
      </c>
      <c r="D178" s="146" t="str">
        <f t="shared" si="7"/>
        <v>NA</v>
      </c>
      <c r="E178" s="143" t="str">
        <f>IFERROR(Table91324[[#This Row],[2020]]/Table91324[[#This Row],[2019]]-1,"NA")</f>
        <v>NA</v>
      </c>
      <c r="G178" s="64" t="s">
        <v>95</v>
      </c>
      <c r="H178" s="146" t="str">
        <f>IFERROR((SUMIFS(TME[[#All],[Claims: Professional, Other Providers]],TME[[#All],[Reporting Year]],2019,TME[[#All],[Insurance Category Code]],1))/ICC1_MemberMonths_2019,"NA")</f>
        <v>NA</v>
      </c>
      <c r="I178" s="146" t="str" cm="1">
        <f t="array" ref="I178">IFERROR((SUMIFS(TME[[#All],[Claims: Professional, Other Providers]],TME[[#All],[Reporting Year]],2020,TME[[#All],[Insurance Category Code]],1))/ICC1_MemberMonths_2020,"NA")</f>
        <v>NA</v>
      </c>
      <c r="J178" s="143" t="str">
        <f>IFERROR(Table9111425[[#This Row],[2020]]/Table9111425[[#This Row],[2019]]-1,"NA")</f>
        <v>NA</v>
      </c>
      <c r="L178" s="64" t="s">
        <v>95</v>
      </c>
      <c r="M178" s="146" t="str">
        <f>IFERROR((SUMIFS(TME[[#All],[Claims: Professional, Other Providers]],TME[[#All],[Reporting Year]],2019,TME[[#All],[Insurance Category Code]],5))/ICC5_MemberMonths_2019,"NA")</f>
        <v>NA</v>
      </c>
      <c r="N178" s="146" t="str" cm="1">
        <f t="array" ref="N178">IFERROR((SUMIFS(TME[[#All],[Claims: Professional, Other Providers]],TME[[#All],[Reporting Year]],2020,TME[[#All],[Insurance Category Code]],5))/ICC5_MemberMonths_2020,"NA")</f>
        <v>NA</v>
      </c>
      <c r="O178" s="143" t="str">
        <f>IFERROR(Table911121526[[#This Row],[2020]]/Table911121526[[#This Row],[2019]]-1,"NA")</f>
        <v>NA</v>
      </c>
    </row>
    <row r="179" spans="2:15" x14ac:dyDescent="0.35">
      <c r="B179" s="64" t="s">
        <v>96</v>
      </c>
      <c r="C179" s="146" t="str">
        <f t="shared" si="6"/>
        <v>NA</v>
      </c>
      <c r="D179" s="146" t="str">
        <f t="shared" si="7"/>
        <v>NA</v>
      </c>
      <c r="E179" s="143" t="str">
        <f>IFERROR(Table91324[[#This Row],[2020]]/Table91324[[#This Row],[2019]]-1,"NA")</f>
        <v>NA</v>
      </c>
      <c r="G179" s="64" t="s">
        <v>96</v>
      </c>
      <c r="H179" s="146" t="str">
        <f>IFERROR((SUMIFS(TME[[#All],[Claims: Long-Term Care]],TME[[#All],[Reporting Year]],2019,TME[[#All],[Insurance Category Code]],1))/ICC1_MemberMonths_2019,"NA")</f>
        <v>NA</v>
      </c>
      <c r="I179" s="146" t="str" cm="1">
        <f t="array" ref="I179">IFERROR((SUMIFS(TME[[#All],[Claims: Long-Term Care]],TME[[#All],[Reporting Year]],2020,TME[[#All],[Insurance Category Code]],1))/ICC1_MemberMonths_2020,"NA")</f>
        <v>NA</v>
      </c>
      <c r="J179" s="143" t="str">
        <f>IFERROR(Table9111425[[#This Row],[2020]]/Table9111425[[#This Row],[2019]]-1,"NA")</f>
        <v>NA</v>
      </c>
      <c r="L179" s="64" t="s">
        <v>96</v>
      </c>
      <c r="M179" s="146" t="str">
        <f>IFERROR((SUMIFS(TME[[#All],[Claims: Long-Term Care]],TME[[#All],[Reporting Year]],2019,TME[[#All],[Insurance Category Code]],5))/ICC5_MemberMonths_2019,"NA")</f>
        <v>NA</v>
      </c>
      <c r="N179" s="146" t="str" cm="1">
        <f t="array" ref="N179">IFERROR((SUMIFS(TME[[#All],[Claims: Long-Term Care]],TME[[#All],[Reporting Year]],2020,TME[[#All],[Insurance Category Code]],5))/ICC5_MemberMonths_2020,"NA")</f>
        <v>NA</v>
      </c>
      <c r="O179" s="143" t="str">
        <f>IFERROR(Table911121526[[#This Row],[2020]]/Table911121526[[#This Row],[2019]]-1,"NA")</f>
        <v>NA</v>
      </c>
    </row>
    <row r="180" spans="2:15" x14ac:dyDescent="0.35">
      <c r="B180" s="64" t="s">
        <v>229</v>
      </c>
      <c r="C180" s="146" t="str">
        <f t="shared" si="6"/>
        <v>NA</v>
      </c>
      <c r="D180" s="146" t="str">
        <f t="shared" si="7"/>
        <v>NA</v>
      </c>
      <c r="E180" s="143" t="str">
        <f>IFERROR(Table91324[[#This Row],[2020]]/Table91324[[#This Row],[2019]]-1,"NA")</f>
        <v>NA</v>
      </c>
      <c r="G180" s="64" t="s">
        <v>229</v>
      </c>
      <c r="H180" s="146" t="str">
        <f>IFERROR((SUMIFS(TME[[#All],[Claims: Retail Pharmacy]],TME[[#All],[Reporting Year]],2019,TME[[#All],[Insurance Category Code]],1))/ICC1_MemberMonths_2019,"NA")</f>
        <v>NA</v>
      </c>
      <c r="I180" s="146" t="str" cm="1">
        <f t="array" ref="I180">IFERROR((SUMIFS(TME[[#All],[Claims: Retail Pharmacy]],TME[[#All],[Reporting Year]],2020,TME[[#All],[Insurance Category Code]],1))/ICC1_MemberMonths_2020,"NA")</f>
        <v>NA</v>
      </c>
      <c r="J180" s="143" t="str">
        <f>IFERROR(Table9111425[[#This Row],[2020]]/Table9111425[[#This Row],[2019]]-1,"NA")</f>
        <v>NA</v>
      </c>
      <c r="L180" s="64" t="s">
        <v>229</v>
      </c>
      <c r="M180" s="146" t="str">
        <f>IFERROR((SUMIFS(TME[[#All],[Claims: Retail Pharmacy]],TME[[#All],[Reporting Year]],2019,TME[[#All],[Insurance Category Code]],5))/ICC5_MemberMonths_2019,"NA")</f>
        <v>NA</v>
      </c>
      <c r="N180" s="146" t="str" cm="1">
        <f t="array" ref="N180">IFERROR((SUMIFS(TME[[#All],[Claims: Retail Pharmacy]],TME[[#All],[Reporting Year]],2020,TME[[#All],[Insurance Category Code]],5))/ICC5_MemberMonths_2020,"NA")</f>
        <v>NA</v>
      </c>
      <c r="O180" s="143" t="str">
        <f>IFERROR(Table911121526[[#This Row],[2020]]/Table911121526[[#This Row],[2019]]-1,"NA")</f>
        <v>NA</v>
      </c>
    </row>
    <row r="181" spans="2:15" x14ac:dyDescent="0.35">
      <c r="B181" s="82" t="s">
        <v>230</v>
      </c>
      <c r="C181" s="146" t="str">
        <f t="shared" si="6"/>
        <v>NA</v>
      </c>
      <c r="D181" s="146" t="str">
        <f t="shared" si="7"/>
        <v>NA</v>
      </c>
      <c r="E181" s="143" t="str">
        <f>IFERROR(Table91324[[#This Row],[2020]]/Table91324[[#This Row],[2019]]-1,"NA")</f>
        <v>NA</v>
      </c>
      <c r="G181" s="82" t="s">
        <v>230</v>
      </c>
      <c r="H181" s="146" t="str">
        <f>IFERROR((SUMIFS(TME[[#All],[Claims: Retail Pharmacy]],TME[[#All],[Reporting Year]],2019,TME[[#All],[Insurance Category Code]],1))-ABS(SUMIFS(RX_REBATE[[#All],[Total Pharmacy Rebate Amount]],RX_REBATE[[#All],[Reporting Year]],2019,RX_REBATE[[#All],[Insurance Category Code]],1))/ICC1_MemberMonths_2019,"NA")</f>
        <v>NA</v>
      </c>
      <c r="I181" s="146" t="str" cm="1">
        <f t="array" ref="I181">IFERROR((SUMIFS(TME[[#All],[Claims: Retail Pharmacy]],TME[[#All],[Reporting Year]],2020,TME[[#All],[Insurance Category Code]],1))-ABS(SUMIFS(RX_REBATE[[#All],[Total Pharmacy Rebate Amount]],RX_REBATE[[#All],[Reporting Year]],2020,RX_REBATE[[#All],[Insurance Category Code]],1))/ICC1_MemberMonths_2020,"NA")</f>
        <v>NA</v>
      </c>
      <c r="J181" s="143" t="str">
        <f>IFERROR(Table9111425[[#This Row],[2020]]/Table9111425[[#This Row],[2019]]-1,"NA")</f>
        <v>NA</v>
      </c>
      <c r="L181" s="82" t="s">
        <v>230</v>
      </c>
      <c r="M181" s="146" t="str">
        <f>IFERROR((SUMIFS(TME[[#All],[Claims: Retail Pharmacy]],TME[[#All],[Reporting Year]],2019,TME[[#All],[Insurance Category Code]],5))-ABS(SUMIFS(RX_REBATE[[#All],[Total Pharmacy Rebate Amount]],RX_REBATE[[#All],[Reporting Year]],2019,RX_REBATE[[#All],[Insurance Category Code]],5))/ICC5_MemberMonths_2019,"NA")</f>
        <v>NA</v>
      </c>
      <c r="N181" s="146" t="str" cm="1">
        <f t="array" ref="N181">IFERROR((SUMIFS(TME[[#All],[Claims: Retail Pharmacy]],TME[[#All],[Reporting Year]],2020,TME[[#All],[Insurance Category Code]],5))-ABS(SUMIFS(RX_REBATE[[#All],[Total Pharmacy Rebate Amount]],RX_REBATE[[#All],[Reporting Year]],2020,RX_REBATE[[#All],[Insurance Category Code]],5))/ICC5_MemberMonths_2020,"NA")</f>
        <v>NA</v>
      </c>
      <c r="O181" s="143" t="str">
        <f>IFERROR(Table911121526[[#This Row],[2020]]/Table911121526[[#This Row],[2019]]-1,"NA")</f>
        <v>NA</v>
      </c>
    </row>
    <row r="182" spans="2:15" x14ac:dyDescent="0.35">
      <c r="B182" s="82" t="s">
        <v>231</v>
      </c>
      <c r="C182" s="146" t="str">
        <f t="shared" si="6"/>
        <v>NA</v>
      </c>
      <c r="D182" s="146" t="str">
        <f t="shared" si="7"/>
        <v>NA</v>
      </c>
      <c r="E182" s="143" t="str">
        <f>IFERROR(Table91324[[#This Row],[2020]]/Table91324[[#This Row],[2019]]-1,"NA")</f>
        <v>NA</v>
      </c>
      <c r="G182" s="82" t="s">
        <v>231</v>
      </c>
      <c r="H182" s="146" t="str">
        <f>IFERROR(-ABS(SUMIFS(RX_REBATE[[#All],[Total Pharmacy Rebate Amount]],RX_REBATE[[#All],[Reporting Year]],2019,RX_REBATE[[#All],[Insurance Category Code]],1))/ICC1_MemberMonths_2019,"NA")</f>
        <v>NA</v>
      </c>
      <c r="I182" s="146" t="str" cm="1">
        <f t="array" ref="I182">IFERROR(-ABS(SUMIFS(RX_REBATE[[#All],[Total Pharmacy Rebate Amount]],RX_REBATE[[#All],[Reporting Year]],2020,RX_REBATE[[#All],[Insurance Category Code]],1))/ICC1_MemberMonths_2020,"NA")</f>
        <v>NA</v>
      </c>
      <c r="J182" s="143" t="str">
        <f>IFERROR(Table9111425[[#This Row],[2020]]/Table9111425[[#This Row],[2019]]-1,"NA")</f>
        <v>NA</v>
      </c>
      <c r="L182" s="82" t="s">
        <v>231</v>
      </c>
      <c r="M182" s="146" t="str">
        <f>IFERROR(-ABS(SUMIFS(RX_REBATE[[#All],[Total Pharmacy Rebate Amount]],RX_REBATE[[#All],[Reporting Year]],2019,RX_REBATE[[#All],[Insurance Category Code]],5))/ICC5_MemberMonths_2019,"NA")</f>
        <v>NA</v>
      </c>
      <c r="N182" s="146" t="str" cm="1">
        <f t="array" ref="N182">IFERROR(-ABS(SUMIFS(RX_REBATE[[#All],[Total Pharmacy Rebate Amount]],RX_REBATE[[#All],[Reporting Year]],2020,RX_REBATE[[#All],[Insurance Category Code]],5))/ICC5_MemberMonths_2020,"NA")</f>
        <v>NA</v>
      </c>
      <c r="O182" s="143" t="str">
        <f>IFERROR(Table911121526[[#This Row],[2020]]/Table911121526[[#This Row],[2019]]-1,"NA")</f>
        <v>NA</v>
      </c>
    </row>
    <row r="183" spans="2:15" x14ac:dyDescent="0.35">
      <c r="B183" s="64" t="s">
        <v>98</v>
      </c>
      <c r="C183" s="146" t="str">
        <f t="shared" si="6"/>
        <v>NA</v>
      </c>
      <c r="D183" s="146" t="str">
        <f t="shared" si="7"/>
        <v>NA</v>
      </c>
      <c r="E183" s="143" t="str">
        <f>IFERROR(Table91324[[#This Row],[2020]]/Table91324[[#This Row],[2019]]-1,"NA")</f>
        <v>NA</v>
      </c>
      <c r="G183" s="64" t="s">
        <v>98</v>
      </c>
      <c r="H183" s="146" t="str">
        <f>IFERROR((SUMIFS(TME[[#All],[Claims: Other]],TME[[#All],[Reporting Year]],2019,TME[[#All],[Insurance Category Code]],1))/ICC1_MemberMonths_2019,"NA")</f>
        <v>NA</v>
      </c>
      <c r="I183" s="146" t="str" cm="1">
        <f t="array" ref="I183">IFERROR((SUMIFS(TME[[#All],[Claims: Other]],TME[[#All],[Reporting Year]],2020,TME[[#All],[Insurance Category Code]],1))/ICC1_MemberMonths_2020,"NA")</f>
        <v>NA</v>
      </c>
      <c r="J183" s="143" t="str">
        <f>IFERROR(Table9111425[[#This Row],[2020]]/Table9111425[[#This Row],[2019]]-1,"NA")</f>
        <v>NA</v>
      </c>
      <c r="L183" s="64" t="s">
        <v>98</v>
      </c>
      <c r="M183" s="146" t="str">
        <f>IFERROR((SUMIFS(TME[[#All],[Claims: Other]],TME[[#All],[Reporting Year]],2019,TME[[#All],[Insurance Category Code]],5))/ICC5_MemberMonths_2019,"NA")</f>
        <v>NA</v>
      </c>
      <c r="N183" s="146" t="str" cm="1">
        <f t="array" ref="N183">IFERROR((SUMIFS(TME[[#All],[Claims: Other]],TME[[#All],[Reporting Year]],2020,TME[[#All],[Insurance Category Code]],5))/ICC5_MemberMonths_2020,"NA")</f>
        <v>NA</v>
      </c>
      <c r="O183" s="143" t="str">
        <f>IFERROR(Table911121526[[#This Row],[2020]]/Table911121526[[#This Row],[2019]]-1,"NA")</f>
        <v>NA</v>
      </c>
    </row>
    <row r="184" spans="2:15" x14ac:dyDescent="0.35">
      <c r="B184" s="83" t="s">
        <v>204</v>
      </c>
      <c r="C184" s="147" t="str">
        <f t="shared" si="6"/>
        <v>NA</v>
      </c>
      <c r="D184" s="147" t="str">
        <f t="shared" si="7"/>
        <v>NA</v>
      </c>
      <c r="E184" s="144" t="str">
        <f>IFERROR(Table91324[[#This Row],[2020]]/Table91324[[#This Row],[2019]]-1,"NA")</f>
        <v>NA</v>
      </c>
      <c r="G184" s="83" t="s">
        <v>204</v>
      </c>
      <c r="H184" s="147" t="str">
        <f>IFERROR((SUMIFS(TME[[#All],[Total Non-Truncated Claims Spending]],TME[[#All],[Reporting Year]],2019,TME[[#All],[Insurance Category Code]],1))/ICC1_MemberMonths_2019,"NA")</f>
        <v>NA</v>
      </c>
      <c r="I184" s="147" t="str" cm="1">
        <f t="array" ref="I184">IFERROR((SUMIFS(TME[[#All],[Total Non-Truncated Claims Spending]],TME[[#All],[Reporting Year]],2020,TME[[#All],[Insurance Category Code]],1))/ICC1_MemberMonths_2020,"NA")</f>
        <v>NA</v>
      </c>
      <c r="J184" s="144" t="str">
        <f>IFERROR(Table9111425[[#This Row],[2020]]/Table9111425[[#This Row],[2019]]-1,"NA")</f>
        <v>NA</v>
      </c>
      <c r="L184" s="83" t="s">
        <v>204</v>
      </c>
      <c r="M184" s="147" t="str">
        <f>IFERROR((SUMIFS(TME[[#All],[Total Non-Truncated Claims Spending]],TME[[#All],[Reporting Year]],2019,TME[[#All],[Insurance Category Code]],5))/ICC5_MemberMonths_2019,"NA")</f>
        <v>NA</v>
      </c>
      <c r="N184" s="147" t="str" cm="1">
        <f t="array" ref="N184">IFERROR((SUMIFS(TME[[#All],[Total Non-Truncated Claims Spending]],TME[[#All],[Reporting Year]],2020,TME[[#All],[Insurance Category Code]],5))/ICC5_MemberMonths_2020,"NA")</f>
        <v>NA</v>
      </c>
      <c r="O184" s="144" t="str">
        <f>IFERROR(Table911121526[[#This Row],[2020]]/Table911121526[[#This Row],[2019]]-1,"NA")</f>
        <v>NA</v>
      </c>
    </row>
    <row r="185" spans="2:15" x14ac:dyDescent="0.35">
      <c r="B185" s="83" t="s">
        <v>205</v>
      </c>
      <c r="C185" s="147" t="str">
        <f t="shared" si="6"/>
        <v>NA</v>
      </c>
      <c r="D185" s="147" t="str">
        <f t="shared" si="7"/>
        <v>NA</v>
      </c>
      <c r="E185" s="144" t="str">
        <f>IFERROR(Table91324[[#This Row],[2020]]/Table91324[[#This Row],[2019]]-1,"NA")</f>
        <v>NA</v>
      </c>
      <c r="G185" s="83" t="s">
        <v>205</v>
      </c>
      <c r="H185" s="147" t="str">
        <f>IFERROR((SUMIFS(TME[[#All],[Total Truncated Claims Spending]],TME[[#All],[Reporting Year]],2019,TME[[#All],[Insurance Category Code]],1))/ICC1_MemberMonths_2019,"NA")</f>
        <v>NA</v>
      </c>
      <c r="I185" s="147" t="str" cm="1">
        <f t="array" ref="I185">IFERROR((SUMIFS(TME[[#All],[Total Truncated Claims Spending]],TME[[#All],[Reporting Year]],2020,TME[[#All],[Insurance Category Code]],1))/ICC1_MemberMonths_2020,"NA")</f>
        <v>NA</v>
      </c>
      <c r="J185" s="144" t="str">
        <f>IFERROR(Table9111425[[#This Row],[2020]]/Table9111425[[#This Row],[2019]]-1,"NA")</f>
        <v>NA</v>
      </c>
      <c r="L185" s="83" t="s">
        <v>205</v>
      </c>
      <c r="M185" s="147" t="str">
        <f>IFERROR((SUMIFS(TME[[#All],[Total Truncated Claims Spending]],TME[[#All],[Reporting Year]],2019,TME[[#All],[Insurance Category Code]],5))/ICC5_MemberMonths_2019,"NA")</f>
        <v>NA</v>
      </c>
      <c r="N185" s="147" t="str" cm="1">
        <f t="array" ref="N185">IFERROR((SUMIFS(TME[[#All],[Total Truncated Claims Spending]],TME[[#All],[Reporting Year]],2020,TME[[#All],[Insurance Category Code]],5))/ICC5_MemberMonths_2020,"NA")</f>
        <v>NA</v>
      </c>
      <c r="O185" s="144" t="str">
        <f>IFERROR(Table911121526[[#This Row],[2020]]/Table911121526[[#This Row],[2019]]-1,"NA")</f>
        <v>NA</v>
      </c>
    </row>
    <row r="186" spans="2:15" x14ac:dyDescent="0.35">
      <c r="B186" s="64" t="s">
        <v>99</v>
      </c>
      <c r="C186" s="146" t="str">
        <f t="shared" si="6"/>
        <v>NA</v>
      </c>
      <c r="D186" s="146" t="str">
        <f t="shared" si="7"/>
        <v>NA</v>
      </c>
      <c r="E186" s="143" t="str">
        <f>IFERROR(Table91324[[#This Row],[2020]]/Table91324[[#This Row],[2019]]-1,"NA")</f>
        <v>NA</v>
      </c>
      <c r="G186" s="64" t="s">
        <v>99</v>
      </c>
      <c r="H186" s="146" t="str">
        <f>IFERROR((SUMIFS(TME[[#All],[Non-Claims: Capitation or Bundled Pmts]],TME[[#All],[Reporting Year]],2019,TME[[#All],[Insurance Category Code]],1))/ICC1_MemberMonths_2019,"NA")</f>
        <v>NA</v>
      </c>
      <c r="I186" s="146" t="str" cm="1">
        <f t="array" ref="I186">IFERROR((SUMIFS(TME[[#All],[Non-Claims: Capitation or Bundled Pmts]],TME[[#All],[Reporting Year]],2020,TME[[#All],[Insurance Category Code]],1))/ICC1_MemberMonths_2020,"NA")</f>
        <v>NA</v>
      </c>
      <c r="J186" s="143" t="str">
        <f>IFERROR(Table9111425[[#This Row],[2020]]/Table9111425[[#This Row],[2019]]-1,"NA")</f>
        <v>NA</v>
      </c>
      <c r="L186" s="64" t="s">
        <v>99</v>
      </c>
      <c r="M186" s="146" t="str">
        <f>IFERROR((SUMIFS(TME[[#All],[Non-Claims: Capitation or Bundled Pmts]],TME[[#All],[Reporting Year]],2019,TME[[#All],[Insurance Category Code]],5))/ICC5_MemberMonths_2019,"NA")</f>
        <v>NA</v>
      </c>
      <c r="N186" s="146" t="str" cm="1">
        <f t="array" ref="N186">IFERROR((SUMIFS(TME[[#All],[Non-Claims: Capitation or Bundled Pmts]],TME[[#All],[Reporting Year]],2020,TME[[#All],[Insurance Category Code]],5))/ICC5_MemberMonths_2020,"NA")</f>
        <v>NA</v>
      </c>
      <c r="O186" s="143" t="str">
        <f>IFERROR(Table911121526[[#This Row],[2020]]/Table911121526[[#This Row],[2019]]-1,"NA")</f>
        <v>NA</v>
      </c>
    </row>
    <row r="187" spans="2:15" x14ac:dyDescent="0.35">
      <c r="B187" s="64" t="s">
        <v>100</v>
      </c>
      <c r="C187" s="146" t="str">
        <f t="shared" si="6"/>
        <v>NA</v>
      </c>
      <c r="D187" s="146" t="str">
        <f t="shared" si="7"/>
        <v>NA</v>
      </c>
      <c r="E187" s="143" t="str">
        <f>IFERROR(Table91324[[#This Row],[2020]]/Table91324[[#This Row],[2019]]-1,"NA")</f>
        <v>NA</v>
      </c>
      <c r="G187" s="64" t="s">
        <v>100</v>
      </c>
      <c r="H187" s="146" t="str">
        <f>IFERROR((SUMIFS(TME[[#All],[Non-Claims: Performance Incentive Pmts]],TME[[#All],[Reporting Year]],2019,TME[[#All],[Insurance Category Code]],1))/ICC1_MemberMonths_2019,"NA")</f>
        <v>NA</v>
      </c>
      <c r="I187" s="146" t="str" cm="1">
        <f t="array" ref="I187">IFERROR((SUMIFS(TME[[#All],[Non-Claims: Performance Incentive Pmts]],TME[[#All],[Reporting Year]],2020,TME[[#All],[Insurance Category Code]],1))/ICC1_MemberMonths_2020,"NA")</f>
        <v>NA</v>
      </c>
      <c r="J187" s="143" t="str">
        <f>IFERROR(Table9111425[[#This Row],[2020]]/Table9111425[[#This Row],[2019]]-1,"NA")</f>
        <v>NA</v>
      </c>
      <c r="L187" s="64" t="s">
        <v>100</v>
      </c>
      <c r="M187" s="146" t="str">
        <f>IFERROR((SUMIFS(TME[[#All],[Non-Claims: Performance Incentive Pmts]],TME[[#All],[Reporting Year]],2019,TME[[#All],[Insurance Category Code]],5))/ICC5_MemberMonths_2019,"NA")</f>
        <v>NA</v>
      </c>
      <c r="N187" s="146" t="str" cm="1">
        <f t="array" ref="N187">IFERROR((SUMIFS(TME[[#All],[Non-Claims: Performance Incentive Pmts]],TME[[#All],[Reporting Year]],2020,TME[[#All],[Insurance Category Code]],5))/ICC5_MemberMonths_2020,"NA")</f>
        <v>NA</v>
      </c>
      <c r="O187" s="143" t="str">
        <f>IFERROR(Table911121526[[#This Row],[2020]]/Table911121526[[#This Row],[2019]]-1,"NA")</f>
        <v>NA</v>
      </c>
    </row>
    <row r="188" spans="2:15" x14ac:dyDescent="0.35">
      <c r="B188" s="64" t="s">
        <v>101</v>
      </c>
      <c r="C188" s="146" t="str">
        <f t="shared" si="6"/>
        <v>NA</v>
      </c>
      <c r="D188" s="146" t="str">
        <f t="shared" si="7"/>
        <v>NA</v>
      </c>
      <c r="E188" s="143" t="str">
        <f>IFERROR(Table91324[[#This Row],[2020]]/Table91324[[#This Row],[2019]]-1,"NA")</f>
        <v>NA</v>
      </c>
      <c r="G188" s="64" t="s">
        <v>101</v>
      </c>
      <c r="H188" s="146" t="str">
        <f>IFERROR((SUMIFS(TME[[#All],[Non-Claims: Pop Health and Practice Infrastructure Pmts]],TME[[#All],[Reporting Year]],2019,TME[[#All],[Insurance Category Code]],1))/ICC1_MemberMonths_2019,"NA")</f>
        <v>NA</v>
      </c>
      <c r="I188" s="146" t="str" cm="1">
        <f t="array" ref="I188">IFERROR((SUMIFS(TME[[#All],[Non-Claims: Pop Health and Practice Infrastructure Pmts]],TME[[#All],[Reporting Year]],2020,TME[[#All],[Insurance Category Code]],1))/ICC1_MemberMonths_2020,"NA")</f>
        <v>NA</v>
      </c>
      <c r="J188" s="143" t="str">
        <f>IFERROR(Table9111425[[#This Row],[2020]]/Table9111425[[#This Row],[2019]]-1,"NA")</f>
        <v>NA</v>
      </c>
      <c r="L188" s="64" t="s">
        <v>101</v>
      </c>
      <c r="M188" s="146" t="str">
        <f>IFERROR((SUMIFS(TME[[#All],[Non-Claims: Pop Health and Practice Infrastructure Pmts]],TME[[#All],[Reporting Year]],2019,TME[[#All],[Insurance Category Code]],5))/ICC5_MemberMonths_2019,"NA")</f>
        <v>NA</v>
      </c>
      <c r="N188" s="146" t="str" cm="1">
        <f t="array" ref="N188">IFERROR((SUMIFS(TME[[#All],[Non-Claims: Pop Health and Practice Infrastructure Pmts]],TME[[#All],[Reporting Year]],2020,TME[[#All],[Insurance Category Code]],5))/ICC5_MemberMonths_2020,"NA")</f>
        <v>NA</v>
      </c>
      <c r="O188" s="143" t="str">
        <f>IFERROR(Table911121526[[#This Row],[2020]]/Table911121526[[#This Row],[2019]]-1,"NA")</f>
        <v>NA</v>
      </c>
    </row>
    <row r="189" spans="2:15" x14ac:dyDescent="0.35">
      <c r="B189" s="64" t="s">
        <v>102</v>
      </c>
      <c r="C189" s="146" t="str">
        <f t="shared" si="6"/>
        <v>NA</v>
      </c>
      <c r="D189" s="146" t="str">
        <f t="shared" si="7"/>
        <v>NA</v>
      </c>
      <c r="E189" s="143" t="str">
        <f>IFERROR(Table91324[[#This Row],[2020]]/Table91324[[#This Row],[2019]]-1,"NA")</f>
        <v>NA</v>
      </c>
      <c r="G189" s="64" t="s">
        <v>102</v>
      </c>
      <c r="H189" s="146" t="str">
        <f>IFERROR((SUMIFS(TME[[#All],[Non-Claims: Provider Salaries]],TME[[#All],[Reporting Year]],2019,TME[[#All],[Insurance Category Code]],1))/ICC1_MemberMonths_2019,"NA")</f>
        <v>NA</v>
      </c>
      <c r="I189" s="146" t="str" cm="1">
        <f t="array" ref="I189">IFERROR((SUMIFS(TME[[#All],[Non-Claims: Provider Salaries]],TME[[#All],[Reporting Year]],2020,TME[[#All],[Insurance Category Code]],1))/ICC1_MemberMonths_2020,"NA")</f>
        <v>NA</v>
      </c>
      <c r="J189" s="143" t="str">
        <f>IFERROR(Table9111425[[#This Row],[2020]]/Table9111425[[#This Row],[2019]]-1,"NA")</f>
        <v>NA</v>
      </c>
      <c r="L189" s="64" t="s">
        <v>102</v>
      </c>
      <c r="M189" s="146" t="str">
        <f>IFERROR((SUMIFS(TME[[#All],[Non-Claims: Provider Salaries]],TME[[#All],[Reporting Year]],2019,TME[[#All],[Insurance Category Code]],5))/ICC5_MemberMonths_2019,"NA")</f>
        <v>NA</v>
      </c>
      <c r="N189" s="146" t="str" cm="1">
        <f t="array" ref="N189">IFERROR((SUMIFS(TME[[#All],[Non-Claims: Provider Salaries]],TME[[#All],[Reporting Year]],2020,TME[[#All],[Insurance Category Code]],5))/ICC5_MemberMonths_2020,"NA")</f>
        <v>NA</v>
      </c>
      <c r="O189" s="143" t="str">
        <f>IFERROR(Table911121526[[#This Row],[2020]]/Table911121526[[#This Row],[2019]]-1,"NA")</f>
        <v>NA</v>
      </c>
    </row>
    <row r="190" spans="2:15" x14ac:dyDescent="0.35">
      <c r="B190" s="64" t="s">
        <v>103</v>
      </c>
      <c r="C190" s="146" t="str">
        <f t="shared" si="6"/>
        <v>NA</v>
      </c>
      <c r="D190" s="146" t="str">
        <f t="shared" si="7"/>
        <v>NA</v>
      </c>
      <c r="E190" s="143" t="str">
        <f>IFERROR(Table91324[[#This Row],[2020]]/Table91324[[#This Row],[2019]]-1,"NA")</f>
        <v>NA</v>
      </c>
      <c r="G190" s="64" t="s">
        <v>103</v>
      </c>
      <c r="H190" s="146" t="str">
        <f>IFERROR((SUMIFS(TME[[#All],[Non-Claims: Recovery]],TME[[#All],[Reporting Year]],2019,TME[[#All],[Insurance Category Code]],1))/ICC1_MemberMonths_2019,"NA")</f>
        <v>NA</v>
      </c>
      <c r="I190" s="146" t="str" cm="1">
        <f t="array" ref="I190">IFERROR((SUMIFS(TME[[#All],[Non-Claims: Recovery]],TME[[#All],[Reporting Year]],2020,TME[[#All],[Insurance Category Code]],1))/ICC1_MemberMonths_2020,"NA")</f>
        <v>NA</v>
      </c>
      <c r="J190" s="143" t="str">
        <f>IFERROR(Table9111425[[#This Row],[2020]]/Table9111425[[#This Row],[2019]]-1,"NA")</f>
        <v>NA</v>
      </c>
      <c r="L190" s="64" t="s">
        <v>103</v>
      </c>
      <c r="M190" s="146" t="str">
        <f>IFERROR((SUMIFS(TME[[#All],[Non-Claims: Recovery]],TME[[#All],[Reporting Year]],2019,TME[[#All],[Insurance Category Code]],5))/ICC5_MemberMonths_2019,"NA")</f>
        <v>NA</v>
      </c>
      <c r="N190" s="146" t="str" cm="1">
        <f t="array" ref="N190">IFERROR((SUMIFS(TME[[#All],[Non-Claims: Recovery]],TME[[#All],[Reporting Year]],2020,TME[[#All],[Insurance Category Code]],5))/ICC5_MemberMonths_2020,"NA")</f>
        <v>NA</v>
      </c>
      <c r="O190" s="143" t="str">
        <f>IFERROR(Table911121526[[#This Row],[2020]]/Table911121526[[#This Row],[2019]]-1,"NA")</f>
        <v>NA</v>
      </c>
    </row>
    <row r="191" spans="2:15" x14ac:dyDescent="0.35">
      <c r="B191" s="64" t="s">
        <v>104</v>
      </c>
      <c r="C191" s="146" t="str">
        <f t="shared" si="6"/>
        <v>NA</v>
      </c>
      <c r="D191" s="146" t="str">
        <f t="shared" si="7"/>
        <v>NA</v>
      </c>
      <c r="E191" s="143" t="str">
        <f>IFERROR(Table91324[[#This Row],[2020]]/Table91324[[#This Row],[2019]]-1,"NA")</f>
        <v>NA</v>
      </c>
      <c r="G191" s="64" t="s">
        <v>104</v>
      </c>
      <c r="H191" s="146" t="str">
        <f>IFERROR((SUMIFS(TME[[#All],[Non-Claims: Other]],TME[[#All],[Reporting Year]],2019,TME[[#All],[Insurance Category Code]],1))/ICC1_MemberMonths_2019,"NA")</f>
        <v>NA</v>
      </c>
      <c r="I191" s="146" t="str" cm="1">
        <f t="array" ref="I191">IFERROR((SUMIFS(TME[[#All],[Non-Claims: Other]],TME[[#All],[Reporting Year]],2020,TME[[#All],[Insurance Category Code]],1))/ICC1_MemberMonths_2020,"NA")</f>
        <v>NA</v>
      </c>
      <c r="J191" s="143" t="str">
        <f>IFERROR(Table9111425[[#This Row],[2020]]/Table9111425[[#This Row],[2019]]-1,"NA")</f>
        <v>NA</v>
      </c>
      <c r="L191" s="64" t="s">
        <v>104</v>
      </c>
      <c r="M191" s="146" t="str">
        <f>IFERROR((SUMIFS(TME[[#All],[Non-Claims: Other]],TME[[#All],[Reporting Year]],2019,TME[[#All],[Insurance Category Code]],5))/ICC5_MemberMonths_2019,"NA")</f>
        <v>NA</v>
      </c>
      <c r="N191" s="146" t="str" cm="1">
        <f t="array" ref="N191">IFERROR((SUMIFS(TME[[#All],[Non-Claims: Other]],TME[[#All],[Reporting Year]],2020,TME[[#All],[Insurance Category Code]],5))/ICC5_MemberMonths_2020,"NA")</f>
        <v>NA</v>
      </c>
      <c r="O191" s="143" t="str">
        <f>IFERROR(Table911121526[[#This Row],[2020]]/Table911121526[[#This Row],[2019]]-1,"NA")</f>
        <v>NA</v>
      </c>
    </row>
    <row r="192" spans="2:15" x14ac:dyDescent="0.35">
      <c r="B192" s="64" t="s">
        <v>266</v>
      </c>
      <c r="C192" s="146" t="str">
        <f t="shared" si="6"/>
        <v>NA</v>
      </c>
      <c r="D192" s="146" t="str">
        <f t="shared" si="7"/>
        <v>NA</v>
      </c>
      <c r="E192" s="143" t="str">
        <f>IFERROR(Table91324[[#This Row],[2020]]/Table91324[[#This Row],[2019]]-1,"NA")</f>
        <v>NA</v>
      </c>
      <c r="G192" s="64" t="s">
        <v>266</v>
      </c>
      <c r="H192" s="146" t="str">
        <f>IFERROR((SUMIFS(TME[[#All],[Non-Claims: Total Primary Care Non-Claims-Based Payments]],TME[[#All],[Reporting Year]],2019,TME[[#All],[Insurance Category Code]],1))/ICC1_MemberMonths_2019,"NA")</f>
        <v>NA</v>
      </c>
      <c r="I192" s="146" t="str" cm="1">
        <f t="array" ref="I192">IFERROR((SUMIFS(TME[[#All],[Non-Claims: Total Primary Care Non-Claims-Based Payments]],TME[[#All],[Reporting Year]],2020,TME[[#All],[Insurance Category Code]],1))/ICC1_MemberMonths_2020,"NA")</f>
        <v>NA</v>
      </c>
      <c r="J192" s="143" t="str">
        <f>IFERROR(Table9111425[[#This Row],[2020]]/Table9111425[[#This Row],[2019]]-1,"NA")</f>
        <v>NA</v>
      </c>
      <c r="L192" s="64" t="s">
        <v>266</v>
      </c>
      <c r="M192" s="146" t="str">
        <f>IFERROR((SUMIFS(TME[[#All],[Non-Claims: Total Primary Care Non-Claims-Based Payments]],TME[[#All],[Reporting Year]],2019,TME[[#All],[Insurance Category Code]],5))/ICC5_MemberMonths_2019,"NA")</f>
        <v>NA</v>
      </c>
      <c r="N192" s="146" t="str" cm="1">
        <f t="array" ref="N192">IFERROR((SUMIFS(TME[[#All],[Non-Claims: Total Primary Care Non-Claims-Based Payments]],TME[[#All],[Reporting Year]],2020,TME[[#All],[Insurance Category Code]],5))/ICC5_MemberMonths_2020,"NA")</f>
        <v>NA</v>
      </c>
      <c r="O192" s="143" t="str">
        <f>IFERROR(Table911121526[[#This Row],[2020]]/Table911121526[[#This Row],[2019]]-1,"NA")</f>
        <v>NA</v>
      </c>
    </row>
    <row r="193" spans="2:15" x14ac:dyDescent="0.35">
      <c r="B193" s="83" t="s">
        <v>232</v>
      </c>
      <c r="C193" s="147" t="str">
        <f t="shared" si="6"/>
        <v>NA</v>
      </c>
      <c r="D193" s="147" t="str">
        <f t="shared" si="7"/>
        <v>NA</v>
      </c>
      <c r="E193" s="143" t="str">
        <f>IFERROR(Table91324[[#This Row],[2020]]/Table91324[[#This Row],[2019]]-1,"NA")</f>
        <v>NA</v>
      </c>
      <c r="G193" s="83" t="s">
        <v>232</v>
      </c>
      <c r="H193" s="147" t="str">
        <f>IFERROR((SUMIFS(TME[[#All],[Total Non-Claims Spending]],TME[[#All],[Reporting Year]],2019,TME[[#All],[Insurance Category Code]],1))/ICC1_MemberMonths_2019,"NA")</f>
        <v>NA</v>
      </c>
      <c r="I193" s="147" t="str" cm="1">
        <f t="array" ref="I193">IFERROR((SUMIFS(TME[[#All],[Total Non-Claims Spending]],TME[[#All],[Reporting Year]],2020,TME[[#All],[Insurance Category Code]],1))/ICC1_MemberMonths_2020,"NA")</f>
        <v>NA</v>
      </c>
      <c r="J193" s="143" t="str">
        <f>IFERROR(Table9111425[[#This Row],[2020]]/Table9111425[[#This Row],[2019]]-1,"NA")</f>
        <v>NA</v>
      </c>
      <c r="L193" s="83" t="s">
        <v>232</v>
      </c>
      <c r="M193" s="147" t="str">
        <f>IFERROR((SUMIFS(TME[[#All],[Total Non-Claims Spending]],TME[[#All],[Reporting Year]],2019,TME[[#All],[Insurance Category Code]],5))/ICC5_MemberMonths_2019,"NA")</f>
        <v>NA</v>
      </c>
      <c r="N193" s="147" t="str" cm="1">
        <f t="array" ref="N193">IFERROR((SUMIFS(TME[[#All],[Total Non-Claims Spending]],TME[[#All],[Reporting Year]],2020,TME[[#All],[Insurance Category Code]],5))/ICC5_MemberMonths_2020,"NA")</f>
        <v>NA</v>
      </c>
      <c r="O193" s="143" t="str">
        <f>IFERROR(Table911121526[[#This Row],[2020]]/Table911121526[[#This Row],[2019]]-1,"NA")</f>
        <v>NA</v>
      </c>
    </row>
    <row r="194" spans="2:15" x14ac:dyDescent="0.35">
      <c r="B194" s="84" t="s">
        <v>233</v>
      </c>
      <c r="C194" s="148" t="str">
        <f t="shared" si="6"/>
        <v>NA</v>
      </c>
      <c r="D194" s="148" t="str">
        <f t="shared" si="7"/>
        <v>NA</v>
      </c>
      <c r="E194" s="145" t="str">
        <f>IFERROR(Table91324[[#This Row],[2020]]/Table91324[[#This Row],[2019]]-1,"NA")</f>
        <v>NA</v>
      </c>
      <c r="G194" s="84" t="s">
        <v>233</v>
      </c>
      <c r="H194" s="148" t="str">
        <f>IFERROR((SUMIFS(TME[[#All],[Total Non-Truncated Claims and Non-Claims Spending]],TME[[#All],[Reporting Year]],2019,TME[[#All],[Insurance Category Code]],1))/ICC1_MemberMonths_2019,"NA")</f>
        <v>NA</v>
      </c>
      <c r="I194" s="148" t="str" cm="1">
        <f t="array" ref="I194">IFERROR((SUMIFS(TME[[#All],[Total Non-Truncated Claims and Non-Claims Spending]],TME[[#All],[Reporting Year]],2020,TME[[#All],[Insurance Category Code]],1))/ICC1_MemberMonths_2020,"NA")</f>
        <v>NA</v>
      </c>
      <c r="J194" s="145" t="str">
        <f>IFERROR(Table9111425[[#This Row],[2020]]/Table9111425[[#This Row],[2019]]-1,"NA")</f>
        <v>NA</v>
      </c>
      <c r="L194" s="84" t="s">
        <v>233</v>
      </c>
      <c r="M194" s="148" t="str">
        <f>IFERROR((SUMIFS(TME[[#All],[Total Non-Truncated Claims and Non-Claims Spending]],TME[[#All],[Reporting Year]],2019,TME[[#All],[Insurance Category Code]],5))/ICC5_MemberMonths_2019,"NA")</f>
        <v>NA</v>
      </c>
      <c r="N194" s="148" t="str" cm="1">
        <f t="array" ref="N194">IFERROR((SUMIFS(TME[[#All],[Total Non-Truncated Claims and Non-Claims Spending]],TME[[#All],[Reporting Year]],2020,TME[[#All],[Insurance Category Code]],5))/ICC5_MemberMonths_2020,"NA")</f>
        <v>NA</v>
      </c>
      <c r="O194" s="145" t="str">
        <f>IFERROR(Table911121526[[#This Row],[2020]]/Table911121526[[#This Row],[2019]]-1,"NA")</f>
        <v>NA</v>
      </c>
    </row>
    <row r="195" spans="2:15" x14ac:dyDescent="0.35">
      <c r="B195" s="85" t="s">
        <v>234</v>
      </c>
      <c r="C195" s="148" t="str">
        <f t="shared" si="6"/>
        <v>NA</v>
      </c>
      <c r="D195" s="148" t="str">
        <f t="shared" si="7"/>
        <v>NA</v>
      </c>
      <c r="E195" s="145" t="str">
        <f>IFERROR(Table91324[[#This Row],[2020]]/Table91324[[#This Row],[2019]]-1,"NA")</f>
        <v>NA</v>
      </c>
      <c r="G195" s="85" t="s">
        <v>234</v>
      </c>
      <c r="H195" s="148" t="str">
        <f>IFERROR((SUMIFS(TME[[#All],[Truncated Total Expenses (Total Truncated Claims Expenses + Non-Claims Expenses)]],TME[[#All],[Reporting Year]],2019,TME[[#All],[Insurance Category Code]],1))/ICC1_MemberMonths_2019,"NA")</f>
        <v>NA</v>
      </c>
      <c r="I195" s="148" t="str" cm="1">
        <f t="array" ref="I195">IFERROR((SUMIFS(TME[[#All],[Truncated Total Expenses (Total Truncated Claims Expenses + Non-Claims Expenses)]],TME[[#All],[Reporting Year]],2020,TME[[#All],[Insurance Category Code]],1))/ICC1_MemberMonths_2020,"NA")</f>
        <v>NA</v>
      </c>
      <c r="J195" s="145" t="str">
        <f>IFERROR(Table9111425[[#This Row],[2020]]/Table9111425[[#This Row],[2019]]-1,"NA")</f>
        <v>NA</v>
      </c>
      <c r="L195" s="85" t="s">
        <v>234</v>
      </c>
      <c r="M195" s="148" t="str">
        <f>IFERROR((SUMIFS(TME[[#All],[Truncated Total Expenses (Total Truncated Claims Expenses + Non-Claims Expenses)]],TME[[#All],[Reporting Year]],2019,TME[[#All],[Insurance Category Code]],5))/ICC5_MemberMonths_2019,"NA")</f>
        <v>NA</v>
      </c>
      <c r="N195" s="148" t="str" cm="1">
        <f t="array" ref="N195">IFERROR((SUMIFS(TME[[#All],[Truncated Total Expenses (Total Truncated Claims Expenses + Non-Claims Expenses)]],TME[[#All],[Reporting Year]],2020,TME[[#All],[Insurance Category Code]],5))/ICC5_MemberMonths_2020,"NA")</f>
        <v>NA</v>
      </c>
      <c r="O195" s="145" t="str">
        <f>IFERROR(Table911121526[[#This Row],[2020]]/Table911121526[[#This Row],[2019]]-1,"NA")</f>
        <v>NA</v>
      </c>
    </row>
    <row r="197" spans="2:15" x14ac:dyDescent="0.35">
      <c r="B197" s="71" t="s">
        <v>317</v>
      </c>
      <c r="G197" s="71" t="s">
        <v>318</v>
      </c>
      <c r="L197" s="71" t="s">
        <v>319</v>
      </c>
    </row>
    <row r="198" spans="2:15" x14ac:dyDescent="0.35">
      <c r="B198" s="70" t="s">
        <v>307</v>
      </c>
      <c r="G198" s="70" t="s">
        <v>307</v>
      </c>
      <c r="L198" s="70" t="s">
        <v>307</v>
      </c>
    </row>
    <row r="199" spans="2:15" x14ac:dyDescent="0.35">
      <c r="B199" s="69" t="s">
        <v>228</v>
      </c>
      <c r="C199" s="149" t="s">
        <v>212</v>
      </c>
      <c r="D199" s="149" t="s">
        <v>283</v>
      </c>
      <c r="E199" s="150" t="s">
        <v>213</v>
      </c>
      <c r="G199" s="69" t="s">
        <v>228</v>
      </c>
      <c r="H199" s="149" t="s">
        <v>212</v>
      </c>
      <c r="I199" s="149" t="s">
        <v>283</v>
      </c>
      <c r="J199" s="150" t="s">
        <v>213</v>
      </c>
      <c r="L199" s="69" t="s">
        <v>228</v>
      </c>
      <c r="M199" s="149" t="s">
        <v>212</v>
      </c>
      <c r="N199" s="149" t="s">
        <v>283</v>
      </c>
      <c r="O199" s="150" t="s">
        <v>213</v>
      </c>
    </row>
    <row r="200" spans="2:15" x14ac:dyDescent="0.35">
      <c r="B200" s="64" t="s">
        <v>90</v>
      </c>
      <c r="C200" s="141">
        <f>SUM(H200,M200)</f>
        <v>0</v>
      </c>
      <c r="D200" s="141">
        <f>SUM(I200,N200)</f>
        <v>0</v>
      </c>
      <c r="E200" s="143" t="str">
        <f>IFERROR(Table9131627[[#This Row],[2020]]/Table9131627[[#This Row],[2019]]-1,"NA")</f>
        <v>NA</v>
      </c>
      <c r="G200" s="64" t="s">
        <v>90</v>
      </c>
      <c r="H200" s="141">
        <f>SUMIFS(TME[[#All],[Member Months]],TME[[#All],[Reporting Year]],2019,TME[[#All],[Insurance Category Code]],2)</f>
        <v>0</v>
      </c>
      <c r="I200" s="141">
        <f>SUMIFS(TME[[#All],[Member Months]],TME[[#All],[Reporting Year]],2020,TME[[#All],[Insurance Category Code]],2)</f>
        <v>0</v>
      </c>
      <c r="J200" s="143" t="str">
        <f>IFERROR(Table911141728[[#This Row],[2020]]/Table911141728[[#This Row],[2019]]-1,"NA")</f>
        <v>NA</v>
      </c>
      <c r="L200" s="64" t="s">
        <v>90</v>
      </c>
      <c r="M200" s="141">
        <f>SUMIFS(TME[[#All],[Member Months]],TME[[#All],[Reporting Year]],2019,TME[[#All],[Insurance Category Code]],6)</f>
        <v>0</v>
      </c>
      <c r="N200" s="141">
        <f>SUMIFS(TME[[#All],[Member Months]],TME[[#All],[Reporting Year]],2020,TME[[#All],[Insurance Category Code]],6)</f>
        <v>0</v>
      </c>
      <c r="O200" s="143" t="str">
        <f>IFERROR(Table91112151829[[#This Row],[2020]]/Table91112151829[[#This Row],[2019]]-1,"NA")</f>
        <v>NA</v>
      </c>
    </row>
    <row r="201" spans="2:15" x14ac:dyDescent="0.35">
      <c r="B201" s="64" t="s">
        <v>91</v>
      </c>
      <c r="C201" s="146" t="str">
        <f t="shared" ref="C201:C222" si="8">IFERROR((SUMPRODUCT(ICC2_MemberMonths_2019,H201)+SUMPRODUCT(ICC6_MemberMonths_2019,M201))/Medicaid_MemberMonths_2019,"NA")</f>
        <v>NA</v>
      </c>
      <c r="D201" s="146" t="str">
        <f t="shared" ref="D201:D222" si="9">IFERROR((SUMPRODUCT(ICC2_MemberMonths_2020,I201)+SUMPRODUCT(ICC6_MemberMonths_2020,N201))/Medicaid_MemberMonths_2020,"NA")</f>
        <v>NA</v>
      </c>
      <c r="E201" s="143" t="str">
        <f>IFERROR(Table9131627[[#This Row],[2020]]/Table9131627[[#This Row],[2019]]-1,"NA")</f>
        <v>NA</v>
      </c>
      <c r="G201" s="64" t="s">
        <v>91</v>
      </c>
      <c r="H201" s="146" t="str">
        <f>IFERROR((SUMIFS(TME[[#All],[Claims: Hospital Inpatient]],TME[[#All],[Reporting Year]],2019,TME[[#All],[Insurance Category Code]],2))/ICC2_MemberMonths_2019,"NA")</f>
        <v>NA</v>
      </c>
      <c r="I201" s="146" t="str" cm="1">
        <f t="array" ref="I201">IFERROR((SUMIFS(TME[[#All],[Claims: Hospital Inpatient]],TME[[#All],[Reporting Year]],2020,TME[[#All],[Insurance Category Code]],2))/ICC2_MemberMonths_2020,"NA")</f>
        <v>NA</v>
      </c>
      <c r="J201" s="143" t="str">
        <f>IFERROR(Table911141728[[#This Row],[2020]]/Table911141728[[#This Row],[2019]]-1,"NA")</f>
        <v>NA</v>
      </c>
      <c r="L201" s="64" t="s">
        <v>91</v>
      </c>
      <c r="M201" s="146" t="str">
        <f>IFERROR((SUMIFS(TME[[#All],[Claims: Hospital Inpatient]],TME[[#All],[Reporting Year]],2019,TME[[#All],[Insurance Category Code]],6))/ICC6_MemberMonths_2019,"NA")</f>
        <v>NA</v>
      </c>
      <c r="N201" s="146" t="str" cm="1">
        <f t="array" ref="N201">IFERROR((SUMIFS(TME[[#All],[Claims: Hospital Inpatient]],TME[[#All],[Reporting Year]],2020,TME[[#All],[Insurance Category Code]],6))/ICC6_MemberMonths_2020,"NA")</f>
        <v>NA</v>
      </c>
      <c r="O201" s="143" t="str">
        <f>IFERROR(Table91112151829[[#This Row],[2020]]/Table91112151829[[#This Row],[2019]]-1,"NA")</f>
        <v>NA</v>
      </c>
    </row>
    <row r="202" spans="2:15" x14ac:dyDescent="0.35">
      <c r="B202" s="64" t="s">
        <v>92</v>
      </c>
      <c r="C202" s="146" t="str">
        <f t="shared" si="8"/>
        <v>NA</v>
      </c>
      <c r="D202" s="146" t="str">
        <f t="shared" si="9"/>
        <v>NA</v>
      </c>
      <c r="E202" s="143" t="str">
        <f>IFERROR(Table9131627[[#This Row],[2020]]/Table9131627[[#This Row],[2019]]-1,"NA")</f>
        <v>NA</v>
      </c>
      <c r="F202" s="37"/>
      <c r="G202" s="64" t="s">
        <v>92</v>
      </c>
      <c r="H202" s="146" t="str">
        <f>IFERROR((SUMIFS(TME[[#All],[Claims: Hospital Outpatient]],TME[[#All],[Reporting Year]],2019,TME[[#All],[Insurance Category Code]],2))/ICC2_MemberMonths_2019,"NA")</f>
        <v>NA</v>
      </c>
      <c r="I202" s="146" t="str" cm="1">
        <f t="array" ref="I202">IFERROR((SUMIFS(TME[[#All],[Claims: Hospital Outpatient]],TME[[#All],[Reporting Year]],2020,TME[[#All],[Insurance Category Code]],2))/ICC2_MemberMonths_2020,"NA")</f>
        <v>NA</v>
      </c>
      <c r="J202" s="143" t="str">
        <f>IFERROR(Table911141728[[#This Row],[2020]]/Table911141728[[#This Row],[2019]]-1,"NA")</f>
        <v>NA</v>
      </c>
      <c r="L202" s="64" t="s">
        <v>92</v>
      </c>
      <c r="M202" s="146" t="str">
        <f>IFERROR((SUMIFS(TME[[#All],[Claims: Hospital Outpatient]],TME[[#All],[Reporting Year]],2019,TME[[#All],[Insurance Category Code]],6))/ICC6_MemberMonths_2019,"NA")</f>
        <v>NA</v>
      </c>
      <c r="N202" s="146" t="str" cm="1">
        <f t="array" ref="N202">IFERROR((SUMIFS(TME[[#All],[Claims: Hospital Outpatient]],TME[[#All],[Reporting Year]],2020,TME[[#All],[Insurance Category Code]],6))/ICC6_MemberMonths_2020,"NA")</f>
        <v>NA</v>
      </c>
      <c r="O202" s="143" t="str">
        <f>IFERROR(Table91112151829[[#This Row],[2020]]/Table91112151829[[#This Row],[2019]]-1,"NA")</f>
        <v>NA</v>
      </c>
    </row>
    <row r="203" spans="2:15" x14ac:dyDescent="0.35">
      <c r="B203" s="64" t="s">
        <v>93</v>
      </c>
      <c r="C203" s="146" t="str">
        <f t="shared" si="8"/>
        <v>NA</v>
      </c>
      <c r="D203" s="146" t="str">
        <f t="shared" si="9"/>
        <v>NA</v>
      </c>
      <c r="E203" s="143" t="str">
        <f>IFERROR(Table9131627[[#This Row],[2020]]/Table9131627[[#This Row],[2019]]-1,"NA")</f>
        <v>NA</v>
      </c>
      <c r="G203" s="64" t="s">
        <v>93</v>
      </c>
      <c r="H203" s="146" t="str">
        <f>IFERROR((SUMIFS(TME[[#All],[Claims: Professional, Primary Care Providers]],TME[[#All],[Reporting Year]],2019,TME[[#All],[Insurance Category Code]],2))/ICC2_MemberMonths_2019,"NA")</f>
        <v>NA</v>
      </c>
      <c r="I203" s="146" t="str" cm="1">
        <f t="array" ref="I203">IFERROR((SUMIFS(TME[[#All],[Claims: Professional, Primary Care Providers]],TME[[#All],[Reporting Year]],2020,TME[[#All],[Insurance Category Code]],2))/ICC2_MemberMonths_2020,"NA")</f>
        <v>NA</v>
      </c>
      <c r="J203" s="143" t="str">
        <f>IFERROR(Table911141728[[#This Row],[2020]]/Table911141728[[#This Row],[2019]]-1,"NA")</f>
        <v>NA</v>
      </c>
      <c r="L203" s="64" t="s">
        <v>93</v>
      </c>
      <c r="M203" s="146" t="str">
        <f>IFERROR((SUMIFS(TME[[#All],[Claims: Professional, Primary Care Providers]],TME[[#All],[Reporting Year]],2019,TME[[#All],[Insurance Category Code]],6))/ICC6_MemberMonths_2019,"NA")</f>
        <v>NA</v>
      </c>
      <c r="N203" s="146" t="str" cm="1">
        <f t="array" ref="N203">IFERROR((SUMIFS(TME[[#All],[Claims: Professional, Primary Care Providers]],TME[[#All],[Reporting Year]],2020,TME[[#All],[Insurance Category Code]],6))/ICC6_MemberMonths_2020,"NA")</f>
        <v>NA</v>
      </c>
      <c r="O203" s="143" t="str">
        <f>IFERROR(Table91112151829[[#This Row],[2020]]/Table91112151829[[#This Row],[2019]]-1,"NA")</f>
        <v>NA</v>
      </c>
    </row>
    <row r="204" spans="2:15" x14ac:dyDescent="0.35">
      <c r="B204" s="64" t="s">
        <v>94</v>
      </c>
      <c r="C204" s="146" t="str">
        <f t="shared" si="8"/>
        <v>NA</v>
      </c>
      <c r="D204" s="146" t="str">
        <f t="shared" si="9"/>
        <v>NA</v>
      </c>
      <c r="E204" s="143" t="str">
        <f>IFERROR(Table9131627[[#This Row],[2020]]/Table9131627[[#This Row],[2019]]-1,"NA")</f>
        <v>NA</v>
      </c>
      <c r="G204" s="64" t="s">
        <v>94</v>
      </c>
      <c r="H204" s="146" t="str">
        <f>IFERROR((SUMIFS(TME[[#All],[Claims: Professional, Specialty Providers]],TME[[#All],[Reporting Year]],2019,TME[[#All],[Insurance Category Code]],2))/ICC2_MemberMonths_2019,"NA")</f>
        <v>NA</v>
      </c>
      <c r="I204" s="146" t="str" cm="1">
        <f t="array" ref="I204">IFERROR((SUMIFS(TME[[#All],[Claims: Professional, Specialty Providers]],TME[[#All],[Reporting Year]],2020,TME[[#All],[Insurance Category Code]],2))/ICC2_MemberMonths_2020,"NA")</f>
        <v>NA</v>
      </c>
      <c r="J204" s="143" t="str">
        <f>IFERROR(Table911141728[[#This Row],[2020]]/Table911141728[[#This Row],[2019]]-1,"NA")</f>
        <v>NA</v>
      </c>
      <c r="L204" s="64" t="s">
        <v>94</v>
      </c>
      <c r="M204" s="146" t="str">
        <f>IFERROR((SUMIFS(TME[[#All],[Claims: Professional, Specialty Providers]],TME[[#All],[Reporting Year]],2019,TME[[#All],[Insurance Category Code]],6))/ICC6_MemberMonths_2019,"NA")</f>
        <v>NA</v>
      </c>
      <c r="N204" s="146" t="str" cm="1">
        <f t="array" ref="N204">IFERROR((SUMIFS(TME[[#All],[Claims: Professional, Specialty Providers]],TME[[#All],[Reporting Year]],2020,TME[[#All],[Insurance Category Code]],6))/ICC6_MemberMonths_2020,"NA")</f>
        <v>NA</v>
      </c>
      <c r="O204" s="143" t="str">
        <f>IFERROR(Table91112151829[[#This Row],[2020]]/Table91112151829[[#This Row],[2019]]-1,"NA")</f>
        <v>NA</v>
      </c>
    </row>
    <row r="205" spans="2:15" x14ac:dyDescent="0.35">
      <c r="B205" s="64" t="s">
        <v>95</v>
      </c>
      <c r="C205" s="146" t="str">
        <f t="shared" si="8"/>
        <v>NA</v>
      </c>
      <c r="D205" s="146" t="str">
        <f t="shared" si="9"/>
        <v>NA</v>
      </c>
      <c r="E205" s="143" t="str">
        <f>IFERROR(Table9131627[[#This Row],[2020]]/Table9131627[[#This Row],[2019]]-1,"NA")</f>
        <v>NA</v>
      </c>
      <c r="G205" s="64" t="s">
        <v>95</v>
      </c>
      <c r="H205" s="146" t="str">
        <f>IFERROR((SUMIFS(TME[[#All],[Claims: Professional, Other Providers]],TME[[#All],[Reporting Year]],2019,TME[[#All],[Insurance Category Code]],2))/ICC2_MemberMonths_2019,"NA")</f>
        <v>NA</v>
      </c>
      <c r="I205" s="146" t="str" cm="1">
        <f t="array" ref="I205">IFERROR((SUMIFS(TME[[#All],[Claims: Professional, Other Providers]],TME[[#All],[Reporting Year]],2020,TME[[#All],[Insurance Category Code]],2))/ICC2_MemberMonths_2020,"NA")</f>
        <v>NA</v>
      </c>
      <c r="J205" s="143" t="str">
        <f>IFERROR(Table911141728[[#This Row],[2020]]/Table911141728[[#This Row],[2019]]-1,"NA")</f>
        <v>NA</v>
      </c>
      <c r="L205" s="64" t="s">
        <v>95</v>
      </c>
      <c r="M205" s="146" t="str">
        <f>IFERROR((SUMIFS(TME[[#All],[Claims: Professional, Other Providers]],TME[[#All],[Reporting Year]],2019,TME[[#All],[Insurance Category Code]],6))/ICC6_MemberMonths_2019,"NA")</f>
        <v>NA</v>
      </c>
      <c r="N205" s="146" t="str" cm="1">
        <f t="array" ref="N205">IFERROR((SUMIFS(TME[[#All],[Claims: Professional, Other Providers]],TME[[#All],[Reporting Year]],2020,TME[[#All],[Insurance Category Code]],6))/ICC6_MemberMonths_2020,"NA")</f>
        <v>NA</v>
      </c>
      <c r="O205" s="143" t="str">
        <f>IFERROR(Table91112151829[[#This Row],[2020]]/Table91112151829[[#This Row],[2019]]-1,"NA")</f>
        <v>NA</v>
      </c>
    </row>
    <row r="206" spans="2:15" x14ac:dyDescent="0.35">
      <c r="B206" s="64" t="s">
        <v>96</v>
      </c>
      <c r="C206" s="146" t="str">
        <f t="shared" si="8"/>
        <v>NA</v>
      </c>
      <c r="D206" s="146" t="str">
        <f t="shared" si="9"/>
        <v>NA</v>
      </c>
      <c r="E206" s="143" t="str">
        <f>IFERROR(Table9131627[[#This Row],[2020]]/Table9131627[[#This Row],[2019]]-1,"NA")</f>
        <v>NA</v>
      </c>
      <c r="G206" s="64" t="s">
        <v>96</v>
      </c>
      <c r="H206" s="146" t="str">
        <f>IFERROR((SUMIFS(TME[[#All],[Claims: Long-Term Care]],TME[[#All],[Reporting Year]],2019,TME[[#All],[Insurance Category Code]],2))/ICC2_MemberMonths_2019,"NA")</f>
        <v>NA</v>
      </c>
      <c r="I206" s="146" t="str" cm="1">
        <f t="array" ref="I206">IFERROR((SUMIFS(TME[[#All],[Claims: Long-Term Care]],TME[[#All],[Reporting Year]],2020,TME[[#All],[Insurance Category Code]],2))/ICC2_MemberMonths_2020,"NA")</f>
        <v>NA</v>
      </c>
      <c r="J206" s="143" t="str">
        <f>IFERROR(Table911141728[[#This Row],[2020]]/Table911141728[[#This Row],[2019]]-1,"NA")</f>
        <v>NA</v>
      </c>
      <c r="L206" s="64" t="s">
        <v>96</v>
      </c>
      <c r="M206" s="146" t="str">
        <f>IFERROR((SUMIFS(TME[[#All],[Claims: Long-Term Care]],TME[[#All],[Reporting Year]],2019,TME[[#All],[Insurance Category Code]],6))/ICC6_MemberMonths_2019,"NA")</f>
        <v>NA</v>
      </c>
      <c r="N206" s="146" t="str" cm="1">
        <f t="array" ref="N206">IFERROR((SUMIFS(TME[[#All],[Claims: Long-Term Care]],TME[[#All],[Reporting Year]],2020,TME[[#All],[Insurance Category Code]],6))/ICC6_MemberMonths_2020,"NA")</f>
        <v>NA</v>
      </c>
      <c r="O206" s="143" t="str">
        <f>IFERROR(Table91112151829[[#This Row],[2020]]/Table91112151829[[#This Row],[2019]]-1,"NA")</f>
        <v>NA</v>
      </c>
    </row>
    <row r="207" spans="2:15" x14ac:dyDescent="0.35">
      <c r="B207" s="64" t="s">
        <v>229</v>
      </c>
      <c r="C207" s="146" t="str">
        <f t="shared" si="8"/>
        <v>NA</v>
      </c>
      <c r="D207" s="146" t="str">
        <f t="shared" si="9"/>
        <v>NA</v>
      </c>
      <c r="E207" s="143" t="str">
        <f>IFERROR(Table9131627[[#This Row],[2020]]/Table9131627[[#This Row],[2019]]-1,"NA")</f>
        <v>NA</v>
      </c>
      <c r="G207" s="64" t="s">
        <v>229</v>
      </c>
      <c r="H207" s="146" t="str">
        <f>IFERROR((SUMIFS(TME[[#All],[Claims: Retail Pharmacy]],TME[[#All],[Reporting Year]],2019,TME[[#All],[Insurance Category Code]],2))/ICC2_MemberMonths_2019,"NA")</f>
        <v>NA</v>
      </c>
      <c r="I207" s="146" t="str" cm="1">
        <f t="array" ref="I207">IFERROR((SUMIFS(TME[[#All],[Claims: Retail Pharmacy]],TME[[#All],[Reporting Year]],2020,TME[[#All],[Insurance Category Code]],2))/ICC2_MemberMonths_2020,"NA")</f>
        <v>NA</v>
      </c>
      <c r="J207" s="143" t="str">
        <f>IFERROR(Table911141728[[#This Row],[2020]]/Table911141728[[#This Row],[2019]]-1,"NA")</f>
        <v>NA</v>
      </c>
      <c r="L207" s="64" t="s">
        <v>229</v>
      </c>
      <c r="M207" s="146" t="str">
        <f>IFERROR((SUMIFS(TME[[#All],[Claims: Retail Pharmacy]],TME[[#All],[Reporting Year]],2019,TME[[#All],[Insurance Category Code]],6))/ICC6_MemberMonths_2019,"NA")</f>
        <v>NA</v>
      </c>
      <c r="N207" s="146" t="str" cm="1">
        <f t="array" ref="N207">IFERROR((SUMIFS(TME[[#All],[Claims: Retail Pharmacy]],TME[[#All],[Reporting Year]],2020,TME[[#All],[Insurance Category Code]],6))/ICC6_MemberMonths_2020,"NA")</f>
        <v>NA</v>
      </c>
      <c r="O207" s="143" t="str">
        <f>IFERROR(Table91112151829[[#This Row],[2020]]/Table91112151829[[#This Row],[2019]]-1,"NA")</f>
        <v>NA</v>
      </c>
    </row>
    <row r="208" spans="2:15" x14ac:dyDescent="0.35">
      <c r="B208" s="82" t="s">
        <v>230</v>
      </c>
      <c r="C208" s="146" t="str">
        <f t="shared" si="8"/>
        <v>NA</v>
      </c>
      <c r="D208" s="146" t="str">
        <f t="shared" si="9"/>
        <v>NA</v>
      </c>
      <c r="E208" s="143" t="str">
        <f>IFERROR(Table9131627[[#This Row],[2020]]/Table9131627[[#This Row],[2019]]-1,"NA")</f>
        <v>NA</v>
      </c>
      <c r="G208" s="82" t="s">
        <v>230</v>
      </c>
      <c r="H208" s="146" t="str">
        <f>IFERROR((SUMIFS(TME[[#All],[Claims: Retail Pharmacy]],TME[[#All],[Reporting Year]],2019,TME[[#All],[Insurance Category Code]],2))-ABS(SUMIFS(RX_REBATE[[#All],[Total Pharmacy Rebate Amount]],RX_REBATE[[#All],[Reporting Year]],2019,RX_REBATE[[#All],[Insurance Category Code]],2))/ICC2_MemberMonths_2019,"NA")</f>
        <v>NA</v>
      </c>
      <c r="I208" s="146" t="str" cm="1">
        <f t="array" ref="I208">IFERROR((SUMIFS(TME[[#All],[Claims: Retail Pharmacy]],TME[[#All],[Reporting Year]],2020,TME[[#All],[Insurance Category Code]],2))-ABS(SUMIFS(RX_REBATE[[#All],[Total Pharmacy Rebate Amount]],RX_REBATE[[#All],[Reporting Year]],2020,RX_REBATE[[#All],[Insurance Category Code]],2))/ICC2_MemberMonths_2020,"NA")</f>
        <v>NA</v>
      </c>
      <c r="J208" s="143" t="str">
        <f>IFERROR(Table911141728[[#This Row],[2020]]/Table911141728[[#This Row],[2019]]-1,"NA")</f>
        <v>NA</v>
      </c>
      <c r="L208" s="82" t="s">
        <v>230</v>
      </c>
      <c r="M208" s="146" t="str">
        <f>IFERROR((SUMIFS(TME[[#All],[Claims: Retail Pharmacy]],TME[[#All],[Reporting Year]],2019,TME[[#All],[Insurance Category Code]],6))-ABS(SUMIFS(RX_REBATE[[#All],[Total Pharmacy Rebate Amount]],RX_REBATE[[#All],[Reporting Year]],2019,RX_REBATE[[#All],[Insurance Category Code]],6))/ICC6_MemberMonths_2019,"NA")</f>
        <v>NA</v>
      </c>
      <c r="N208" s="146" t="str" cm="1">
        <f t="array" ref="N208">IFERROR((SUMIFS(TME[[#All],[Claims: Retail Pharmacy]],TME[[#All],[Reporting Year]],2020,TME[[#All],[Insurance Category Code]],6))-ABS(SUMIFS(RX_REBATE[[#All],[Total Pharmacy Rebate Amount]],RX_REBATE[[#All],[Reporting Year]],2020,RX_REBATE[[#All],[Insurance Category Code]],6))/ICC6_MemberMonths_2020,"NA")</f>
        <v>NA</v>
      </c>
      <c r="O208" s="143" t="str">
        <f>IFERROR(Table91112151829[[#This Row],[2020]]/Table91112151829[[#This Row],[2019]]-1,"NA")</f>
        <v>NA</v>
      </c>
    </row>
    <row r="209" spans="2:17" x14ac:dyDescent="0.35">
      <c r="B209" s="82" t="s">
        <v>231</v>
      </c>
      <c r="C209" s="146" t="str">
        <f t="shared" si="8"/>
        <v>NA</v>
      </c>
      <c r="D209" s="146" t="str">
        <f t="shared" si="9"/>
        <v>NA</v>
      </c>
      <c r="E209" s="143" t="str">
        <f>IFERROR(Table9131627[[#This Row],[2020]]/Table9131627[[#This Row],[2019]]-1,"NA")</f>
        <v>NA</v>
      </c>
      <c r="G209" s="82" t="s">
        <v>231</v>
      </c>
      <c r="H209" s="146" t="str">
        <f>IFERROR(-ABS(SUMIFS(RX_REBATE[[#All],[Total Pharmacy Rebate Amount]],RX_REBATE[[#All],[Reporting Year]],2019,RX_REBATE[[#All],[Insurance Category Code]],2))/ICC2_MemberMonths_2019,"NA")</f>
        <v>NA</v>
      </c>
      <c r="I209" s="146" t="str" cm="1">
        <f t="array" ref="I209">IFERROR(-ABS(SUMIFS(RX_REBATE[[#All],[Total Pharmacy Rebate Amount]],RX_REBATE[[#All],[Reporting Year]],2020,RX_REBATE[[#All],[Insurance Category Code]],2))/ICC2_MemberMonths_2020,"NA")</f>
        <v>NA</v>
      </c>
      <c r="J209" s="143" t="str">
        <f>IFERROR(Table911141728[[#This Row],[2020]]/Table911141728[[#This Row],[2019]]-1,"NA")</f>
        <v>NA</v>
      </c>
      <c r="L209" s="82" t="s">
        <v>231</v>
      </c>
      <c r="M209" s="146" t="str">
        <f>IFERROR(-ABS(SUMIFS(RX_REBATE[[#All],[Total Pharmacy Rebate Amount]],RX_REBATE[[#All],[Reporting Year]],2019,RX_REBATE[[#All],[Insurance Category Code]],6))/ICC6_MemberMonths_2019,"NA")</f>
        <v>NA</v>
      </c>
      <c r="N209" s="146" t="str" cm="1">
        <f t="array" ref="N209">IFERROR(-ABS(SUMIFS(RX_REBATE[[#All],[Total Pharmacy Rebate Amount]],RX_REBATE[[#All],[Reporting Year]],2020,RX_REBATE[[#All],[Insurance Category Code]],6))/ICC6_MemberMonths_2020,"NA")</f>
        <v>NA</v>
      </c>
      <c r="O209" s="143" t="str">
        <f>IFERROR(Table91112151829[[#This Row],[2020]]/Table91112151829[[#This Row],[2019]]-1,"NA")</f>
        <v>NA</v>
      </c>
    </row>
    <row r="210" spans="2:17" x14ac:dyDescent="0.35">
      <c r="B210" s="64" t="s">
        <v>98</v>
      </c>
      <c r="C210" s="146" t="str">
        <f t="shared" si="8"/>
        <v>NA</v>
      </c>
      <c r="D210" s="146" t="str">
        <f t="shared" si="9"/>
        <v>NA</v>
      </c>
      <c r="E210" s="143" t="str">
        <f>IFERROR(Table9131627[[#This Row],[2020]]/Table9131627[[#This Row],[2019]]-1,"NA")</f>
        <v>NA</v>
      </c>
      <c r="G210" s="64" t="s">
        <v>98</v>
      </c>
      <c r="H210" s="146" t="str">
        <f>IFERROR((SUMIFS(TME[[#All],[Claims: Other]],TME[[#All],[Reporting Year]],2019,TME[[#All],[Insurance Category Code]],2))/ICC2_MemberMonths_2019,"NA")</f>
        <v>NA</v>
      </c>
      <c r="I210" s="146" t="str" cm="1">
        <f t="array" ref="I210">IFERROR((SUMIFS(TME[[#All],[Claims: Other]],TME[[#All],[Reporting Year]],2020,TME[[#All],[Insurance Category Code]],2))/ICC2_MemberMonths_2020,"NA")</f>
        <v>NA</v>
      </c>
      <c r="J210" s="143" t="str">
        <f>IFERROR(Table911141728[[#This Row],[2020]]/Table911141728[[#This Row],[2019]]-1,"NA")</f>
        <v>NA</v>
      </c>
      <c r="L210" s="64" t="s">
        <v>98</v>
      </c>
      <c r="M210" s="146" t="str">
        <f>IFERROR((SUMIFS(TME[[#All],[Claims: Other]],TME[[#All],[Reporting Year]],2019,TME[[#All],[Insurance Category Code]],6))/ICC6_MemberMonths_2019,"NA")</f>
        <v>NA</v>
      </c>
      <c r="N210" s="146" t="str" cm="1">
        <f t="array" ref="N210">IFERROR((SUMIFS(TME[[#All],[Claims: Other]],TME[[#All],[Reporting Year]],2020,TME[[#All],[Insurance Category Code]],6))/ICC6_MemberMonths_2020,"NA")</f>
        <v>NA</v>
      </c>
      <c r="O210" s="143" t="str">
        <f>IFERROR(Table91112151829[[#This Row],[2020]]/Table91112151829[[#This Row],[2019]]-1,"NA")</f>
        <v>NA</v>
      </c>
    </row>
    <row r="211" spans="2:17" x14ac:dyDescent="0.35">
      <c r="B211" s="83" t="s">
        <v>204</v>
      </c>
      <c r="C211" s="147" t="str">
        <f t="shared" si="8"/>
        <v>NA</v>
      </c>
      <c r="D211" s="147" t="str">
        <f t="shared" si="9"/>
        <v>NA</v>
      </c>
      <c r="E211" s="144" t="str">
        <f>IFERROR(Table9131627[[#This Row],[2020]]/Table9131627[[#This Row],[2019]]-1,"NA")</f>
        <v>NA</v>
      </c>
      <c r="G211" s="83" t="s">
        <v>204</v>
      </c>
      <c r="H211" s="147" t="str">
        <f>IFERROR((SUMIFS(TME[[#All],[Total Non-Truncated Claims Spending]],TME[[#All],[Reporting Year]],2019,TME[[#All],[Insurance Category Code]],2))/ICC2_MemberMonths_2019,"NA")</f>
        <v>NA</v>
      </c>
      <c r="I211" s="147" t="str" cm="1">
        <f t="array" ref="I211">IFERROR((SUMIFS(TME[[#All],[Total Non-Truncated Claims Spending]],TME[[#All],[Reporting Year]],2020,TME[[#All],[Insurance Category Code]],2))/ICC2_MemberMonths_2020,"NA")</f>
        <v>NA</v>
      </c>
      <c r="J211" s="144" t="str">
        <f>IFERROR(Table911141728[[#This Row],[2020]]/Table911141728[[#This Row],[2019]]-1,"NA")</f>
        <v>NA</v>
      </c>
      <c r="L211" s="83" t="s">
        <v>204</v>
      </c>
      <c r="M211" s="147" t="str">
        <f>IFERROR((SUMIFS(TME[[#All],[Total Non-Truncated Claims Spending]],TME[[#All],[Reporting Year]],2019,TME[[#All],[Insurance Category Code]],6))/ICC6_MemberMonths_2019,"NA")</f>
        <v>NA</v>
      </c>
      <c r="N211" s="147" t="str" cm="1">
        <f t="array" ref="N211">IFERROR((SUMIFS(TME[[#All],[Total Non-Truncated Claims Spending]],TME[[#All],[Reporting Year]],2020,TME[[#All],[Insurance Category Code]],6))/ICC6_MemberMonths_2020,"NA")</f>
        <v>NA</v>
      </c>
      <c r="O211" s="144" t="str">
        <f>IFERROR(Table91112151829[[#This Row],[2020]]/Table91112151829[[#This Row],[2019]]-1,"NA")</f>
        <v>NA</v>
      </c>
    </row>
    <row r="212" spans="2:17" x14ac:dyDescent="0.35">
      <c r="B212" s="83" t="s">
        <v>205</v>
      </c>
      <c r="C212" s="147" t="str">
        <f t="shared" si="8"/>
        <v>NA</v>
      </c>
      <c r="D212" s="147" t="str">
        <f t="shared" si="9"/>
        <v>NA</v>
      </c>
      <c r="E212" s="144" t="str">
        <f>IFERROR(Table9131627[[#This Row],[2020]]/Table9131627[[#This Row],[2019]]-1,"NA")</f>
        <v>NA</v>
      </c>
      <c r="G212" s="83" t="s">
        <v>205</v>
      </c>
      <c r="H212" s="147" t="str">
        <f>IFERROR((SUMIFS(TME[[#All],[Total Truncated Claims Spending]],TME[[#All],[Reporting Year]],2019,TME[[#All],[Insurance Category Code]],2))/ICC2_MemberMonths_2019,"NA")</f>
        <v>NA</v>
      </c>
      <c r="I212" s="147" t="str" cm="1">
        <f t="array" ref="I212">IFERROR((SUMIFS(TME[[#All],[Total Truncated Claims Spending]],TME[[#All],[Reporting Year]],2020,TME[[#All],[Insurance Category Code]],2))/ICC2_MemberMonths_2020,"NA")</f>
        <v>NA</v>
      </c>
      <c r="J212" s="144" t="str">
        <f>IFERROR(Table911141728[[#This Row],[2020]]/Table911141728[[#This Row],[2019]]-1,"NA")</f>
        <v>NA</v>
      </c>
      <c r="L212" s="83" t="s">
        <v>205</v>
      </c>
      <c r="M212" s="147" t="str">
        <f>IFERROR((SUMIFS(TME[[#All],[Total Truncated Claims Spending]],TME[[#All],[Reporting Year]],2019,TME[[#All],[Insurance Category Code]],6))/ICC6_MemberMonths_2019,"NA")</f>
        <v>NA</v>
      </c>
      <c r="N212" s="147" t="str" cm="1">
        <f t="array" ref="N212">IFERROR((SUMIFS(TME[[#All],[Total Truncated Claims Spending]],TME[[#All],[Reporting Year]],2020,TME[[#All],[Insurance Category Code]],6))/ICC6_MemberMonths_2020,"NA")</f>
        <v>NA</v>
      </c>
      <c r="O212" s="144" t="str">
        <f>IFERROR(Table91112151829[[#This Row],[2020]]/Table91112151829[[#This Row],[2019]]-1,"NA")</f>
        <v>NA</v>
      </c>
    </row>
    <row r="213" spans="2:17" x14ac:dyDescent="0.35">
      <c r="B213" s="64" t="s">
        <v>99</v>
      </c>
      <c r="C213" s="146" t="str">
        <f t="shared" si="8"/>
        <v>NA</v>
      </c>
      <c r="D213" s="146" t="str">
        <f t="shared" si="9"/>
        <v>NA</v>
      </c>
      <c r="E213" s="143" t="str">
        <f>IFERROR(Table9131627[[#This Row],[2020]]/Table9131627[[#This Row],[2019]]-1,"NA")</f>
        <v>NA</v>
      </c>
      <c r="G213" s="64" t="s">
        <v>99</v>
      </c>
      <c r="H213" s="146" t="str">
        <f>IFERROR((SUMIFS(TME[[#All],[Non-Claims: Capitation or Bundled Pmts]],TME[[#All],[Reporting Year]],2019,TME[[#All],[Insurance Category Code]],2))/ICC2_MemberMonths_2019,"NA")</f>
        <v>NA</v>
      </c>
      <c r="I213" s="146" t="str" cm="1">
        <f t="array" ref="I213">IFERROR((SUMIFS(TME[[#All],[Non-Claims: Capitation or Bundled Pmts]],TME[[#All],[Reporting Year]],2020,TME[[#All],[Insurance Category Code]],2))/ICC2_MemberMonths_2020,"NA")</f>
        <v>NA</v>
      </c>
      <c r="J213" s="143" t="str">
        <f>IFERROR(Table911141728[[#This Row],[2020]]/Table911141728[[#This Row],[2019]]-1,"NA")</f>
        <v>NA</v>
      </c>
      <c r="L213" s="64" t="s">
        <v>99</v>
      </c>
      <c r="M213" s="146" t="str">
        <f>IFERROR((SUMIFS(TME[[#All],[Non-Claims: Capitation or Bundled Pmts]],TME[[#All],[Reporting Year]],2019,TME[[#All],[Insurance Category Code]],6))/ICC6_MemberMonths_2019,"NA")</f>
        <v>NA</v>
      </c>
      <c r="N213" s="146" t="str" cm="1">
        <f t="array" ref="N213">IFERROR((SUMIFS(TME[[#All],[Non-Claims: Capitation or Bundled Pmts]],TME[[#All],[Reporting Year]],2020,TME[[#All],[Insurance Category Code]],6))/ICC6_MemberMonths_2020,"NA")</f>
        <v>NA</v>
      </c>
      <c r="O213" s="143" t="str">
        <f>IFERROR(Table91112151829[[#This Row],[2020]]/Table91112151829[[#This Row],[2019]]-1,"NA")</f>
        <v>NA</v>
      </c>
    </row>
    <row r="214" spans="2:17" x14ac:dyDescent="0.35">
      <c r="B214" s="64" t="s">
        <v>100</v>
      </c>
      <c r="C214" s="146" t="str">
        <f t="shared" si="8"/>
        <v>NA</v>
      </c>
      <c r="D214" s="146" t="str">
        <f t="shared" si="9"/>
        <v>NA</v>
      </c>
      <c r="E214" s="143" t="str">
        <f>IFERROR(Table9131627[[#This Row],[2020]]/Table9131627[[#This Row],[2019]]-1,"NA")</f>
        <v>NA</v>
      </c>
      <c r="G214" s="64" t="s">
        <v>100</v>
      </c>
      <c r="H214" s="146" t="str">
        <f>IFERROR((SUMIFS(TME[[#All],[Non-Claims: Performance Incentive Pmts]],TME[[#All],[Reporting Year]],2019,TME[[#All],[Insurance Category Code]],2))/ICC2_MemberMonths_2019,"NA")</f>
        <v>NA</v>
      </c>
      <c r="I214" s="146" t="str" cm="1">
        <f t="array" ref="I214">IFERROR((SUMIFS(TME[[#All],[Non-Claims: Performance Incentive Pmts]],TME[[#All],[Reporting Year]],2020,TME[[#All],[Insurance Category Code]],2))/ICC2_MemberMonths_2020,"NA")</f>
        <v>NA</v>
      </c>
      <c r="J214" s="143" t="str">
        <f>IFERROR(Table911141728[[#This Row],[2020]]/Table911141728[[#This Row],[2019]]-1,"NA")</f>
        <v>NA</v>
      </c>
      <c r="L214" s="64" t="s">
        <v>100</v>
      </c>
      <c r="M214" s="146" t="str">
        <f>IFERROR((SUMIFS(TME[[#All],[Non-Claims: Performance Incentive Pmts]],TME[[#All],[Reporting Year]],2019,TME[[#All],[Insurance Category Code]],6))/ICC6_MemberMonths_2019,"NA")</f>
        <v>NA</v>
      </c>
      <c r="N214" s="146" t="str" cm="1">
        <f t="array" ref="N214">IFERROR((SUMIFS(TME[[#All],[Non-Claims: Performance Incentive Pmts]],TME[[#All],[Reporting Year]],2020,TME[[#All],[Insurance Category Code]],6))/ICC6_MemberMonths_2020,"NA")</f>
        <v>NA</v>
      </c>
      <c r="O214" s="143" t="str">
        <f>IFERROR(Table91112151829[[#This Row],[2020]]/Table91112151829[[#This Row],[2019]]-1,"NA")</f>
        <v>NA</v>
      </c>
    </row>
    <row r="215" spans="2:17" x14ac:dyDescent="0.35">
      <c r="B215" s="64" t="s">
        <v>101</v>
      </c>
      <c r="C215" s="146" t="str">
        <f t="shared" si="8"/>
        <v>NA</v>
      </c>
      <c r="D215" s="146" t="str">
        <f t="shared" si="9"/>
        <v>NA</v>
      </c>
      <c r="E215" s="143" t="str">
        <f>IFERROR(Table9131627[[#This Row],[2020]]/Table9131627[[#This Row],[2019]]-1,"NA")</f>
        <v>NA</v>
      </c>
      <c r="G215" s="64" t="s">
        <v>101</v>
      </c>
      <c r="H215" s="146" t="str">
        <f>IFERROR((SUMIFS(TME[[#All],[Non-Claims: Pop Health and Practice Infrastructure Pmts]],TME[[#All],[Reporting Year]],2019,TME[[#All],[Insurance Category Code]],2))/ICC2_MemberMonths_2019,"NA")</f>
        <v>NA</v>
      </c>
      <c r="I215" s="146" t="str" cm="1">
        <f t="array" ref="I215">IFERROR((SUMIFS(TME[[#All],[Non-Claims: Pop Health and Practice Infrastructure Pmts]],TME[[#All],[Reporting Year]],2020,TME[[#All],[Insurance Category Code]],2))/ICC2_MemberMonths_2020,"NA")</f>
        <v>NA</v>
      </c>
      <c r="J215" s="143" t="str">
        <f>IFERROR(Table911141728[[#This Row],[2020]]/Table911141728[[#This Row],[2019]]-1,"NA")</f>
        <v>NA</v>
      </c>
      <c r="L215" s="64" t="s">
        <v>101</v>
      </c>
      <c r="M215" s="146" t="str">
        <f>IFERROR((SUMIFS(TME[[#All],[Non-Claims: Pop Health and Practice Infrastructure Pmts]],TME[[#All],[Reporting Year]],2019,TME[[#All],[Insurance Category Code]],6))/ICC6_MemberMonths_2019,"NA")</f>
        <v>NA</v>
      </c>
      <c r="N215" s="146" t="str" cm="1">
        <f t="array" ref="N215">IFERROR((SUMIFS(TME[[#All],[Non-Claims: Pop Health and Practice Infrastructure Pmts]],TME[[#All],[Reporting Year]],2020,TME[[#All],[Insurance Category Code]],6))/ICC6_MemberMonths_2020,"NA")</f>
        <v>NA</v>
      </c>
      <c r="O215" s="143" t="str">
        <f>IFERROR(Table91112151829[[#This Row],[2020]]/Table91112151829[[#This Row],[2019]]-1,"NA")</f>
        <v>NA</v>
      </c>
    </row>
    <row r="216" spans="2:17" x14ac:dyDescent="0.35">
      <c r="B216" s="64" t="s">
        <v>102</v>
      </c>
      <c r="C216" s="146" t="str">
        <f t="shared" si="8"/>
        <v>NA</v>
      </c>
      <c r="D216" s="146" t="str">
        <f t="shared" si="9"/>
        <v>NA</v>
      </c>
      <c r="E216" s="143" t="str">
        <f>IFERROR(Table9131627[[#This Row],[2020]]/Table9131627[[#This Row],[2019]]-1,"NA")</f>
        <v>NA</v>
      </c>
      <c r="G216" s="64" t="s">
        <v>102</v>
      </c>
      <c r="H216" s="146" t="str">
        <f>IFERROR((SUMIFS(TME[[#All],[Non-Claims: Provider Salaries]],TME[[#All],[Reporting Year]],2019,TME[[#All],[Insurance Category Code]],2))/ICC2_MemberMonths_2019,"NA")</f>
        <v>NA</v>
      </c>
      <c r="I216" s="146" t="str" cm="1">
        <f t="array" ref="I216">IFERROR((SUMIFS(TME[[#All],[Non-Claims: Provider Salaries]],TME[[#All],[Reporting Year]],2020,TME[[#All],[Insurance Category Code]],2))/ICC2_MemberMonths_2020,"NA")</f>
        <v>NA</v>
      </c>
      <c r="J216" s="143" t="str">
        <f>IFERROR(Table911141728[[#This Row],[2020]]/Table911141728[[#This Row],[2019]]-1,"NA")</f>
        <v>NA</v>
      </c>
      <c r="L216" s="64" t="s">
        <v>102</v>
      </c>
      <c r="M216" s="146" t="str">
        <f>IFERROR((SUMIFS(TME[[#All],[Non-Claims: Provider Salaries]],TME[[#All],[Reporting Year]],2019,TME[[#All],[Insurance Category Code]],6))/ICC6_MemberMonths_2019,"NA")</f>
        <v>NA</v>
      </c>
      <c r="N216" s="146" t="str" cm="1">
        <f t="array" ref="N216">IFERROR((SUMIFS(TME[[#All],[Non-Claims: Provider Salaries]],TME[[#All],[Reporting Year]],2020,TME[[#All],[Insurance Category Code]],6))/ICC6_MemberMonths_2020,"NA")</f>
        <v>NA</v>
      </c>
      <c r="O216" s="143" t="str">
        <f>IFERROR(Table91112151829[[#This Row],[2020]]/Table91112151829[[#This Row],[2019]]-1,"NA")</f>
        <v>NA</v>
      </c>
    </row>
    <row r="217" spans="2:17" x14ac:dyDescent="0.35">
      <c r="B217" s="64" t="s">
        <v>103</v>
      </c>
      <c r="C217" s="146" t="str">
        <f t="shared" si="8"/>
        <v>NA</v>
      </c>
      <c r="D217" s="146" t="str">
        <f t="shared" si="9"/>
        <v>NA</v>
      </c>
      <c r="E217" s="143" t="str">
        <f>IFERROR(Table9131627[[#This Row],[2020]]/Table9131627[[#This Row],[2019]]-1,"NA")</f>
        <v>NA</v>
      </c>
      <c r="G217" s="64" t="s">
        <v>103</v>
      </c>
      <c r="H217" s="146" t="str">
        <f>IFERROR((SUMIFS(TME[[#All],[Non-Claims: Recovery]],TME[[#All],[Reporting Year]],2019,TME[[#All],[Insurance Category Code]],2))/ICC2_MemberMonths_2019,"NA")</f>
        <v>NA</v>
      </c>
      <c r="I217" s="146" t="str" cm="1">
        <f t="array" ref="I217">IFERROR((SUMIFS(TME[[#All],[Non-Claims: Recovery]],TME[[#All],[Reporting Year]],2020,TME[[#All],[Insurance Category Code]],2))/ICC2_MemberMonths_2020,"NA")</f>
        <v>NA</v>
      </c>
      <c r="J217" s="143" t="str">
        <f>IFERROR(Table911141728[[#This Row],[2020]]/Table911141728[[#This Row],[2019]]-1,"NA")</f>
        <v>NA</v>
      </c>
      <c r="L217" s="64" t="s">
        <v>103</v>
      </c>
      <c r="M217" s="146" t="str">
        <f>IFERROR((SUMIFS(TME[[#All],[Non-Claims: Recovery]],TME[[#All],[Reporting Year]],2019,TME[[#All],[Insurance Category Code]],6))/ICC6_MemberMonths_2019,"NA")</f>
        <v>NA</v>
      </c>
      <c r="N217" s="146" t="str" cm="1">
        <f t="array" ref="N217">IFERROR((SUMIFS(TME[[#All],[Non-Claims: Recovery]],TME[[#All],[Reporting Year]],2020,TME[[#All],[Insurance Category Code]],6))/ICC6_MemberMonths_2020,"NA")</f>
        <v>NA</v>
      </c>
      <c r="O217" s="143" t="str">
        <f>IFERROR(Table91112151829[[#This Row],[2020]]/Table91112151829[[#This Row],[2019]]-1,"NA")</f>
        <v>NA</v>
      </c>
    </row>
    <row r="218" spans="2:17" x14ac:dyDescent="0.35">
      <c r="B218" s="64" t="s">
        <v>104</v>
      </c>
      <c r="C218" s="146" t="str">
        <f t="shared" si="8"/>
        <v>NA</v>
      </c>
      <c r="D218" s="146" t="str">
        <f t="shared" si="9"/>
        <v>NA</v>
      </c>
      <c r="E218" s="143" t="str">
        <f>IFERROR(Table9131627[[#This Row],[2020]]/Table9131627[[#This Row],[2019]]-1,"NA")</f>
        <v>NA</v>
      </c>
      <c r="G218" s="64" t="s">
        <v>104</v>
      </c>
      <c r="H218" s="146" t="str">
        <f>IFERROR((SUMIFS(TME[[#All],[Non-Claims: Other]],TME[[#All],[Reporting Year]],2019,TME[[#All],[Insurance Category Code]],2))/ICC2_MemberMonths_2019,"NA")</f>
        <v>NA</v>
      </c>
      <c r="I218" s="146" t="str" cm="1">
        <f t="array" ref="I218">IFERROR((SUMIFS(TME[[#All],[Non-Claims: Other]],TME[[#All],[Reporting Year]],2020,TME[[#All],[Insurance Category Code]],2))/ICC2_MemberMonths_2020,"NA")</f>
        <v>NA</v>
      </c>
      <c r="J218" s="143" t="str">
        <f>IFERROR(Table911141728[[#This Row],[2020]]/Table911141728[[#This Row],[2019]]-1,"NA")</f>
        <v>NA</v>
      </c>
      <c r="L218" s="64" t="s">
        <v>104</v>
      </c>
      <c r="M218" s="146" t="str">
        <f>IFERROR((SUMIFS(TME[[#All],[Non-Claims: Other]],TME[[#All],[Reporting Year]],2019,TME[[#All],[Insurance Category Code]],6))/ICC6_MemberMonths_2019,"NA")</f>
        <v>NA</v>
      </c>
      <c r="N218" s="146" t="str" cm="1">
        <f t="array" ref="N218">IFERROR((SUMIFS(TME[[#All],[Non-Claims: Other]],TME[[#All],[Reporting Year]],2020,TME[[#All],[Insurance Category Code]],6))/ICC6_MemberMonths_2020,"NA")</f>
        <v>NA</v>
      </c>
      <c r="O218" s="143" t="str">
        <f>IFERROR(Table91112151829[[#This Row],[2020]]/Table91112151829[[#This Row],[2019]]-1,"NA")</f>
        <v>NA</v>
      </c>
    </row>
    <row r="219" spans="2:17" x14ac:dyDescent="0.35">
      <c r="B219" s="64" t="s">
        <v>266</v>
      </c>
      <c r="C219" s="146" t="str">
        <f t="shared" si="8"/>
        <v>NA</v>
      </c>
      <c r="D219" s="146" t="str">
        <f t="shared" si="9"/>
        <v>NA</v>
      </c>
      <c r="E219" s="143" t="str">
        <f>IFERROR(Table9131627[[#This Row],[2020]]/Table9131627[[#This Row],[2019]]-1,"NA")</f>
        <v>NA</v>
      </c>
      <c r="G219" s="64" t="s">
        <v>266</v>
      </c>
      <c r="H219" s="146" t="str">
        <f>IFERROR((SUMIFS(TME[[#All],[Non-Claims: Total Primary Care Non-Claims-Based Payments]],TME[[#All],[Reporting Year]],2019,TME[[#All],[Insurance Category Code]],2))/ICC2_MemberMonths_2019,"NA")</f>
        <v>NA</v>
      </c>
      <c r="I219" s="146" t="str" cm="1">
        <f t="array" ref="I219">IFERROR((SUMIFS(TME[[#All],[Non-Claims: Total Primary Care Non-Claims-Based Payments]],TME[[#All],[Reporting Year]],2020,TME[[#All],[Insurance Category Code]],2))/ICC2_MemberMonths_2020,"NA")</f>
        <v>NA</v>
      </c>
      <c r="J219" s="143" t="str">
        <f>IFERROR(Table911141728[[#This Row],[2020]]/Table911141728[[#This Row],[2019]]-1,"NA")</f>
        <v>NA</v>
      </c>
      <c r="L219" s="64" t="s">
        <v>266</v>
      </c>
      <c r="M219" s="146" t="str">
        <f>IFERROR((SUMIFS(TME[[#All],[Non-Claims: Total Primary Care Non-Claims-Based Payments]],TME[[#All],[Reporting Year]],2019,TME[[#All],[Insurance Category Code]],6))/ICC6_MemberMonths_2019,"NA")</f>
        <v>NA</v>
      </c>
      <c r="N219" s="146" t="str" cm="1">
        <f t="array" ref="N219">IFERROR((SUMIFS(TME[[#All],[Non-Claims: Total Primary Care Non-Claims-Based Payments]],TME[[#All],[Reporting Year]],2020,TME[[#All],[Insurance Category Code]],6))/ICC6_MemberMonths_2020,"NA")</f>
        <v>NA</v>
      </c>
      <c r="O219" s="143" t="str">
        <f>IFERROR(Table91112151829[[#This Row],[2020]]/Table91112151829[[#This Row],[2019]]-1,"NA")</f>
        <v>NA</v>
      </c>
    </row>
    <row r="220" spans="2:17" x14ac:dyDescent="0.35">
      <c r="B220" s="83" t="s">
        <v>232</v>
      </c>
      <c r="C220" s="147" t="str">
        <f t="shared" si="8"/>
        <v>NA</v>
      </c>
      <c r="D220" s="147" t="str">
        <f t="shared" si="9"/>
        <v>NA</v>
      </c>
      <c r="E220" s="143" t="str">
        <f>IFERROR(Table9131627[[#This Row],[2020]]/Table9131627[[#This Row],[2019]]-1,"NA")</f>
        <v>NA</v>
      </c>
      <c r="G220" s="83" t="s">
        <v>232</v>
      </c>
      <c r="H220" s="147" t="str">
        <f>IFERROR((SUMIFS(TME[[#All],[Total Non-Claims Spending]],TME[[#All],[Reporting Year]],2019,TME[[#All],[Insurance Category Code]],2))/ICC2_MemberMonths_2019,"NA")</f>
        <v>NA</v>
      </c>
      <c r="I220" s="147" t="str" cm="1">
        <f t="array" ref="I220">IFERROR((SUMIFS(TME[[#All],[Total Non-Claims Spending]],TME[[#All],[Reporting Year]],2020,TME[[#All],[Insurance Category Code]],2))/ICC2_MemberMonths_2020,"NA")</f>
        <v>NA</v>
      </c>
      <c r="J220" s="143" t="str">
        <f>IFERROR(Table911141728[[#This Row],[2020]]/Table911141728[[#This Row],[2019]]-1,"NA")</f>
        <v>NA</v>
      </c>
      <c r="L220" s="83" t="s">
        <v>232</v>
      </c>
      <c r="M220" s="147" t="str">
        <f>IFERROR((SUMIFS(TME[[#All],[Total Non-Claims Spending]],TME[[#All],[Reporting Year]],2019,TME[[#All],[Insurance Category Code]],6))/ICC6_MemberMonths_2019,"NA")</f>
        <v>NA</v>
      </c>
      <c r="N220" s="147" t="str" cm="1">
        <f t="array" ref="N220">IFERROR((SUMIFS(TME[[#All],[Total Non-Claims Spending]],TME[[#All],[Reporting Year]],2020,TME[[#All],[Insurance Category Code]],6))/ICC6_MemberMonths_2020,"NA")</f>
        <v>NA</v>
      </c>
      <c r="O220" s="143" t="str">
        <f>IFERROR(Table91112151829[[#This Row],[2020]]/Table91112151829[[#This Row],[2019]]-1,"NA")</f>
        <v>NA</v>
      </c>
    </row>
    <row r="221" spans="2:17" x14ac:dyDescent="0.35">
      <c r="B221" s="84" t="s">
        <v>233</v>
      </c>
      <c r="C221" s="148" t="str">
        <f t="shared" si="8"/>
        <v>NA</v>
      </c>
      <c r="D221" s="148" t="str">
        <f t="shared" si="9"/>
        <v>NA</v>
      </c>
      <c r="E221" s="145" t="str">
        <f>IFERROR(Table9131627[[#This Row],[2020]]/Table9131627[[#This Row],[2019]]-1,"NA")</f>
        <v>NA</v>
      </c>
      <c r="G221" s="84" t="s">
        <v>233</v>
      </c>
      <c r="H221" s="148" t="str">
        <f>IFERROR((SUMIFS(TME[[#All],[Total Non-Truncated Claims and Non-Claims Spending]],TME[[#All],[Reporting Year]],2019,TME[[#All],[Insurance Category Code]],2))/ICC2_MemberMonths_2019,"NA")</f>
        <v>NA</v>
      </c>
      <c r="I221" s="148" t="str" cm="1">
        <f t="array" ref="I221">IFERROR((SUMIFS(TME[[#All],[Total Non-Truncated Claims and Non-Claims Spending]],TME[[#All],[Reporting Year]],2020,TME[[#All],[Insurance Category Code]],2))/ICC2_MemberMonths_2020,"NA")</f>
        <v>NA</v>
      </c>
      <c r="J221" s="145" t="str">
        <f>IFERROR(Table911141728[[#This Row],[2020]]/Table911141728[[#This Row],[2019]]-1,"NA")</f>
        <v>NA</v>
      </c>
      <c r="L221" s="84" t="s">
        <v>233</v>
      </c>
      <c r="M221" s="148" t="str">
        <f>IFERROR((SUMIFS(TME[[#All],[Total Non-Truncated Claims and Non-Claims Spending]],TME[[#All],[Reporting Year]],2019,TME[[#All],[Insurance Category Code]],6))/ICC6_MemberMonths_2019,"NA")</f>
        <v>NA</v>
      </c>
      <c r="N221" s="148" t="str" cm="1">
        <f t="array" ref="N221">IFERROR((SUMIFS(TME[[#All],[Total Non-Truncated Claims and Non-Claims Spending]],TME[[#All],[Reporting Year]],2020,TME[[#All],[Insurance Category Code]],6))/ICC6_MemberMonths_2020,"NA")</f>
        <v>NA</v>
      </c>
      <c r="O221" s="145" t="str">
        <f>IFERROR(Table91112151829[[#This Row],[2020]]/Table91112151829[[#This Row],[2019]]-1,"NA")</f>
        <v>NA</v>
      </c>
    </row>
    <row r="222" spans="2:17" x14ac:dyDescent="0.35">
      <c r="B222" s="85" t="s">
        <v>234</v>
      </c>
      <c r="C222" s="148" t="str">
        <f t="shared" si="8"/>
        <v>NA</v>
      </c>
      <c r="D222" s="148" t="str">
        <f t="shared" si="9"/>
        <v>NA</v>
      </c>
      <c r="E222" s="145" t="str">
        <f>IFERROR(Table9131627[[#This Row],[2020]]/Table9131627[[#This Row],[2019]]-1,"NA")</f>
        <v>NA</v>
      </c>
      <c r="G222" s="85" t="s">
        <v>234</v>
      </c>
      <c r="H222" s="148" t="str">
        <f>IFERROR((SUMIFS(TME[[#All],[Truncated Total Expenses (Total Truncated Claims Expenses + Non-Claims Expenses)]],TME[[#All],[Reporting Year]],2019,TME[[#All],[Insurance Category Code]],2))/ICC2_MemberMonths_2019,"NA")</f>
        <v>NA</v>
      </c>
      <c r="I222" s="148" t="str" cm="1">
        <f t="array" ref="I222">IFERROR((SUMIFS(TME[[#All],[Truncated Total Expenses (Total Truncated Claims Expenses + Non-Claims Expenses)]],TME[[#All],[Reporting Year]],2020,TME[[#All],[Insurance Category Code]],2))/ICC2_MemberMonths_2020,"NA")</f>
        <v>NA</v>
      </c>
      <c r="J222" s="145" t="str">
        <f>IFERROR(Table911141728[[#This Row],[2020]]/Table911141728[[#This Row],[2019]]-1,"NA")</f>
        <v>NA</v>
      </c>
      <c r="L222" s="85" t="s">
        <v>234</v>
      </c>
      <c r="M222" s="148" t="str">
        <f>IFERROR((SUMIFS(TME[[#All],[Truncated Total Expenses (Total Truncated Claims Expenses + Non-Claims Expenses)]],TME[[#All],[Reporting Year]],2019,TME[[#All],[Insurance Category Code]],6))/ICC6_MemberMonths_2019,"NA")</f>
        <v>NA</v>
      </c>
      <c r="N222" s="148" t="str" cm="1">
        <f t="array" ref="N222">IFERROR((SUMIFS(TME[[#All],[Truncated Total Expenses (Total Truncated Claims Expenses + Non-Claims Expenses)]],TME[[#All],[Reporting Year]],2020,TME[[#All],[Insurance Category Code]],6))/ICC6_MemberMonths_2020,"NA")</f>
        <v>NA</v>
      </c>
      <c r="O222" s="145" t="str">
        <f>IFERROR(Table91112151829[[#This Row],[2020]]/Table91112151829[[#This Row],[2019]]-1,"NA")</f>
        <v>NA</v>
      </c>
    </row>
    <row r="224" spans="2:17" ht="21" x14ac:dyDescent="0.35">
      <c r="B224" s="122" t="s">
        <v>284</v>
      </c>
      <c r="C224" s="109"/>
      <c r="D224" s="109"/>
      <c r="E224" s="109"/>
      <c r="F224" s="109"/>
      <c r="G224" s="109"/>
      <c r="H224" s="109"/>
      <c r="I224" s="109"/>
      <c r="J224" s="109"/>
      <c r="K224" s="109"/>
      <c r="L224" s="109"/>
      <c r="M224" s="109"/>
      <c r="N224" s="109"/>
      <c r="O224" s="109"/>
      <c r="P224" s="109"/>
      <c r="Q224" s="109"/>
    </row>
    <row r="226" spans="2:7" x14ac:dyDescent="0.35">
      <c r="B226" s="71" t="s">
        <v>320</v>
      </c>
    </row>
    <row r="227" spans="2:7" x14ac:dyDescent="0.35">
      <c r="B227" s="86" t="s">
        <v>210</v>
      </c>
      <c r="C227" s="87" t="s">
        <v>283</v>
      </c>
      <c r="D227" s="87" t="s">
        <v>285</v>
      </c>
      <c r="E227" s="88" t="s">
        <v>213</v>
      </c>
    </row>
    <row r="228" spans="2:7" x14ac:dyDescent="0.35">
      <c r="B228" s="64" t="s">
        <v>214</v>
      </c>
      <c r="C228" s="91">
        <f>SUM(C229:C230)</f>
        <v>0</v>
      </c>
      <c r="D228" s="91">
        <f>SUM(D229:D230)</f>
        <v>0</v>
      </c>
      <c r="E228" s="143" t="str">
        <f>IFERROR(Table1930[[#This Row],[2021]]/Table1930[[#This Row],[2020]]-1,"NA")</f>
        <v>NA</v>
      </c>
    </row>
    <row r="229" spans="2:7" x14ac:dyDescent="0.35">
      <c r="B229" s="82" t="s">
        <v>215</v>
      </c>
      <c r="C229" s="91">
        <f>SUMIFS(TME[[#All],[Member Months]],TME[[#All],[Reporting Year]],Table1930[[#Headers],[2020]],TME[[#All],[Insurance Category Code]],3)</f>
        <v>0</v>
      </c>
      <c r="D229" s="91">
        <f>SUMIFS(TME[[#All],[Member Months]],TME[[#All],[Reporting Year]],Table1930[[#Headers],[2021]],TME[[#All],[Insurance Category Code]],3)</f>
        <v>0</v>
      </c>
      <c r="E229" s="143" t="str">
        <f>IFERROR(Table1930[[#This Row],[2021]]/Table1930[[#This Row],[2020]]-1,"NA")</f>
        <v>NA</v>
      </c>
    </row>
    <row r="230" spans="2:7" x14ac:dyDescent="0.35">
      <c r="B230" s="82" t="s">
        <v>216</v>
      </c>
      <c r="C230" s="91">
        <f>SUMIFS(TME[[#All],[Member Months]],TME[[#All],[Reporting Year]],Table1930[[#Headers],[2020]],TME[[#All],[Insurance Category Code]],4)</f>
        <v>0</v>
      </c>
      <c r="D230" s="91">
        <f>SUMIFS(TME[[#All],[Member Months]],TME[[#All],[Reporting Year]],Table1930[[#Headers],[2021]],TME[[#All],[Insurance Category Code]],4)</f>
        <v>0</v>
      </c>
      <c r="E230" s="143" t="str">
        <f>IFERROR(Table1930[[#This Row],[2021]]/Table1930[[#This Row],[2020]]-1,"NA")</f>
        <v>NA</v>
      </c>
    </row>
    <row r="231" spans="2:7" x14ac:dyDescent="0.35">
      <c r="B231" s="64" t="s">
        <v>217</v>
      </c>
      <c r="C231" s="91">
        <f>SUM(C232:C233)</f>
        <v>0</v>
      </c>
      <c r="D231" s="91">
        <f>SUM(D232:D233)</f>
        <v>0</v>
      </c>
      <c r="E231" s="143" t="str">
        <f>IFERROR(Table1930[[#This Row],[2021]]/Table1930[[#This Row],[2020]]-1,"NA")</f>
        <v>NA</v>
      </c>
    </row>
    <row r="232" spans="2:7" x14ac:dyDescent="0.35">
      <c r="B232" s="82" t="s">
        <v>218</v>
      </c>
      <c r="C232" s="91">
        <f>SUMIFS(TME[[#All],[Member Months]],TME[[#All],[Reporting Year]],Table1930[[#Headers],[2020]],TME[[#All],[Insurance Category Code]],1)</f>
        <v>0</v>
      </c>
      <c r="D232" s="91">
        <f>SUMIFS(TME[[#All],[Member Months]],TME[[#All],[Reporting Year]],Table1930[[#Headers],[2021]],TME[[#All],[Insurance Category Code]],1)</f>
        <v>0</v>
      </c>
      <c r="E232" s="143" t="str">
        <f>IFERROR(Table1930[[#This Row],[2021]]/Table1930[[#This Row],[2020]]-1,"NA")</f>
        <v>NA</v>
      </c>
    </row>
    <row r="233" spans="2:7" x14ac:dyDescent="0.35">
      <c r="B233" s="82" t="s">
        <v>219</v>
      </c>
      <c r="C233" s="91">
        <f>SUMIFS(TME[[#All],[Member Months]],TME[[#All],[Reporting Year]],Table1930[[#Headers],[2020]],TME[[#All],[Insurance Category Code]],5)</f>
        <v>0</v>
      </c>
      <c r="D233" s="91">
        <f>SUMIFS(TME[[#All],[Member Months]],TME[[#All],[Reporting Year]],Table1930[[#Headers],[2021]],TME[[#All],[Insurance Category Code]],5)</f>
        <v>0</v>
      </c>
      <c r="E233" s="143" t="str">
        <f>IFERROR(Table1930[[#This Row],[2021]]/Table1930[[#This Row],[2020]]-1,"NA")</f>
        <v>NA</v>
      </c>
    </row>
    <row r="234" spans="2:7" x14ac:dyDescent="0.35">
      <c r="B234" s="64" t="s">
        <v>220</v>
      </c>
      <c r="C234" s="91">
        <f>SUM(C235:C236)</f>
        <v>0</v>
      </c>
      <c r="D234" s="91">
        <f>SUM(D235:D236)</f>
        <v>0</v>
      </c>
      <c r="E234" s="143" t="str">
        <f>IFERROR(Table1930[[#This Row],[2021]]/Table1930[[#This Row],[2020]]-1,"NA")</f>
        <v>NA</v>
      </c>
    </row>
    <row r="235" spans="2:7" x14ac:dyDescent="0.35">
      <c r="B235" s="82" t="s">
        <v>221</v>
      </c>
      <c r="C235" s="91">
        <f>SUMIFS(TME[[#All],[Member Months]],TME[[#All],[Reporting Year]],Table1930[[#Headers],[2020]],TME[[#All],[Insurance Category Code]],2)</f>
        <v>0</v>
      </c>
      <c r="D235" s="91">
        <f>SUMIFS(TME[[#All],[Member Months]],TME[[#All],[Reporting Year]],Table1930[[#Headers],[2021]],TME[[#All],[Insurance Category Code]],2)</f>
        <v>0</v>
      </c>
      <c r="E235" s="143" t="str">
        <f>IFERROR(Table1930[[#This Row],[2021]]/Table1930[[#This Row],[2020]]-1,"NA")</f>
        <v>NA</v>
      </c>
    </row>
    <row r="236" spans="2:7" x14ac:dyDescent="0.35">
      <c r="B236" s="82" t="s">
        <v>222</v>
      </c>
      <c r="C236" s="91">
        <f>SUMIFS(TME[[#All],[Member Months]],TME[[#All],[Reporting Year]],Table1930[[#Headers],[2020]],TME[[#All],[Insurance Category Code]],6)</f>
        <v>0</v>
      </c>
      <c r="D236" s="91">
        <f>SUMIFS(TME[[#All],[Member Months]],TME[[#All],[Reporting Year]],Table1930[[#Headers],[2021]],TME[[#All],[Insurance Category Code]],6)</f>
        <v>0</v>
      </c>
      <c r="E236" s="143" t="str">
        <f>IFERROR(Table1930[[#This Row],[2021]]/Table1930[[#This Row],[2020]]-1,"NA")</f>
        <v>NA</v>
      </c>
    </row>
    <row r="237" spans="2:7" x14ac:dyDescent="0.35">
      <c r="B237" s="89" t="s">
        <v>192</v>
      </c>
      <c r="C237" s="92">
        <f>SUM(C228,C231,C234)</f>
        <v>0</v>
      </c>
      <c r="D237" s="92">
        <f>SUM(D228,D231,D234)</f>
        <v>0</v>
      </c>
      <c r="E237" s="143" t="str">
        <f>IFERROR(Table1930[[#This Row],[2021]]/Table1930[[#This Row],[2020]]-1,"NA")</f>
        <v>NA</v>
      </c>
    </row>
    <row r="239" spans="2:7" x14ac:dyDescent="0.35">
      <c r="B239" s="71" t="s">
        <v>321</v>
      </c>
      <c r="G239" s="71" t="s">
        <v>322</v>
      </c>
    </row>
    <row r="240" spans="2:7" x14ac:dyDescent="0.35">
      <c r="B240" s="70" t="s">
        <v>306</v>
      </c>
      <c r="G240" s="70" t="s">
        <v>306</v>
      </c>
    </row>
    <row r="241" spans="2:15" x14ac:dyDescent="0.35">
      <c r="B241" s="86" t="s">
        <v>210</v>
      </c>
      <c r="C241" s="87" t="s">
        <v>283</v>
      </c>
      <c r="D241" s="87" t="s">
        <v>285</v>
      </c>
      <c r="E241" s="88" t="s">
        <v>213</v>
      </c>
      <c r="G241" s="86" t="s">
        <v>210</v>
      </c>
      <c r="H241" s="87" t="s">
        <v>283</v>
      </c>
      <c r="I241" s="87" t="s">
        <v>285</v>
      </c>
      <c r="J241" s="88" t="s">
        <v>213</v>
      </c>
    </row>
    <row r="242" spans="2:15" x14ac:dyDescent="0.35">
      <c r="B242" s="64" t="s">
        <v>214</v>
      </c>
      <c r="C242" s="93">
        <f>SUM(C243:C244)</f>
        <v>0</v>
      </c>
      <c r="D242" s="93">
        <f>SUM(D243:D244)</f>
        <v>0</v>
      </c>
      <c r="E242" s="143" t="str">
        <f>IFERROR(Table171931[[#This Row],[2021]]/Table171931[[#This Row],[2020]]-1,"NA")</f>
        <v>NA</v>
      </c>
      <c r="G242" s="64" t="s">
        <v>214</v>
      </c>
      <c r="H242" s="93" t="str">
        <f>IFERROR(Table171931[[#This Row],[2020]]/C228,"NA")</f>
        <v>NA</v>
      </c>
      <c r="I242" s="93" t="str">
        <f>IFERROR(Table171931[[#This Row],[2021]]/D228,"NA")</f>
        <v>NA</v>
      </c>
      <c r="J242" s="142" t="str">
        <f>IFERROR(Table1782032[[#This Row],[2021]]/Table1782032[[#This Row],[2020]]-1,"NA")</f>
        <v>NA</v>
      </c>
    </row>
    <row r="243" spans="2:15" x14ac:dyDescent="0.35">
      <c r="B243" s="82" t="s">
        <v>215</v>
      </c>
      <c r="C243" s="93">
        <f>SUMIFS(TME[[#All],[Total Non-Truncated Claims and Non-Claims Spending]],TME[[#All],[Reporting Year]],Table171931[[#Headers],[2020]],TME[[#All],[Insurance Category Code]],3)</f>
        <v>0</v>
      </c>
      <c r="D243" s="93">
        <f>SUMIFS(TME[[#All],[Total Non-Truncated Claims and Non-Claims Spending]],TME[[#All],[Reporting Year]],Table171931[[#Headers],[2021]],TME[[#All],[Insurance Category Code]],3)</f>
        <v>0</v>
      </c>
      <c r="E243" s="143" t="str">
        <f>IFERROR(Table171931[[#This Row],[2021]]/Table171931[[#This Row],[2020]]-1,"NA")</f>
        <v>NA</v>
      </c>
      <c r="G243" s="82" t="s">
        <v>215</v>
      </c>
      <c r="H243" s="93" t="str">
        <f>IFERROR(Table171931[[#This Row],[2020]]/C229,"NA")</f>
        <v>NA</v>
      </c>
      <c r="I243" s="93" t="str">
        <f>IFERROR(Table171931[[#This Row],[2021]]/D229,"NA")</f>
        <v>NA</v>
      </c>
      <c r="J243" s="142" t="str">
        <f>IFERROR(Table1782032[[#This Row],[2021]]/Table1782032[[#This Row],[2020]]-1,"NA")</f>
        <v>NA</v>
      </c>
    </row>
    <row r="244" spans="2:15" x14ac:dyDescent="0.35">
      <c r="B244" s="82" t="s">
        <v>216</v>
      </c>
      <c r="C244" s="93">
        <f>SUMIFS(TME[[#All],[Total Non-Truncated Claims and Non-Claims Spending]],TME[[#All],[Reporting Year]],Table171931[[#Headers],[2020]],TME[[#All],[Insurance Category Code]],4)</f>
        <v>0</v>
      </c>
      <c r="D244" s="93">
        <f>SUMIFS(TME[[#All],[Total Non-Truncated Claims and Non-Claims Spending]],TME[[#All],[Reporting Year]],Table171931[[#Headers],[2021]],TME[[#All],[Insurance Category Code]],4)</f>
        <v>0</v>
      </c>
      <c r="E244" s="143" t="str">
        <f>IFERROR(Table171931[[#This Row],[2021]]/Table171931[[#This Row],[2020]]-1,"NA")</f>
        <v>NA</v>
      </c>
      <c r="G244" s="82" t="s">
        <v>216</v>
      </c>
      <c r="H244" s="93" t="str">
        <f>IFERROR(Table171931[[#This Row],[2020]]/C230,"NA")</f>
        <v>NA</v>
      </c>
      <c r="I244" s="93" t="str">
        <f>IFERROR(Table171931[[#This Row],[2021]]/D230,"NA")</f>
        <v>NA</v>
      </c>
      <c r="J244" s="142" t="str">
        <f>IFERROR(Table1782032[[#This Row],[2021]]/Table1782032[[#This Row],[2020]]-1,"NA")</f>
        <v>NA</v>
      </c>
    </row>
    <row r="245" spans="2:15" x14ac:dyDescent="0.35">
      <c r="B245" s="64" t="s">
        <v>217</v>
      </c>
      <c r="C245" s="93">
        <f>SUM(C246:C247)</f>
        <v>0</v>
      </c>
      <c r="D245" s="93">
        <f>SUM(D246:D247)</f>
        <v>0</v>
      </c>
      <c r="E245" s="143" t="str">
        <f>IFERROR(Table171931[[#This Row],[2021]]/Table171931[[#This Row],[2020]]-1,"NA")</f>
        <v>NA</v>
      </c>
      <c r="G245" s="64" t="s">
        <v>217</v>
      </c>
      <c r="H245" s="93" t="str">
        <f>IFERROR(Table171931[[#This Row],[2020]]/C231,"NA")</f>
        <v>NA</v>
      </c>
      <c r="I245" s="93" t="str">
        <f>IFERROR(Table171931[[#This Row],[2021]]/D231,"NA")</f>
        <v>NA</v>
      </c>
      <c r="J245" s="142" t="str">
        <f>IFERROR(Table1782032[[#This Row],[2021]]/Table1782032[[#This Row],[2020]]-1,"NA")</f>
        <v>NA</v>
      </c>
    </row>
    <row r="246" spans="2:15" x14ac:dyDescent="0.35">
      <c r="B246" s="82" t="s">
        <v>218</v>
      </c>
      <c r="C246" s="93">
        <f>SUMIFS(TME[[#All],[Total Non-Truncated Claims and Non-Claims Spending]],TME[[#All],[Reporting Year]],Table171931[[#Headers],[2020]],TME[[#All],[Insurance Category Code]],1)</f>
        <v>0</v>
      </c>
      <c r="D246" s="93">
        <f>SUMIFS(TME[[#All],[Total Non-Truncated Claims and Non-Claims Spending]],TME[[#All],[Reporting Year]],Table171931[[#Headers],[2021]],TME[[#All],[Insurance Category Code]],1)</f>
        <v>0</v>
      </c>
      <c r="E246" s="143" t="str">
        <f>IFERROR(Table171931[[#This Row],[2021]]/Table171931[[#This Row],[2020]]-1,"NA")</f>
        <v>NA</v>
      </c>
      <c r="G246" s="82" t="s">
        <v>218</v>
      </c>
      <c r="H246" s="93" t="str">
        <f>IFERROR(Table171931[[#This Row],[2020]]/C232,"NA")</f>
        <v>NA</v>
      </c>
      <c r="I246" s="93" t="str">
        <f>IFERROR(Table171931[[#This Row],[2021]]/D232,"NA")</f>
        <v>NA</v>
      </c>
      <c r="J246" s="142" t="str">
        <f>IFERROR(Table1782032[[#This Row],[2021]]/Table1782032[[#This Row],[2020]]-1,"NA")</f>
        <v>NA</v>
      </c>
    </row>
    <row r="247" spans="2:15" x14ac:dyDescent="0.35">
      <c r="B247" s="82" t="s">
        <v>219</v>
      </c>
      <c r="C247" s="93">
        <f>SUMIFS(TME[[#All],[Total Non-Truncated Claims and Non-Claims Spending]],TME[[#All],[Reporting Year]],Table171931[[#Headers],[2020]],TME[[#All],[Insurance Category Code]],5)</f>
        <v>0</v>
      </c>
      <c r="D247" s="93">
        <f>SUMIFS(TME[[#All],[Total Non-Truncated Claims and Non-Claims Spending]],TME[[#All],[Reporting Year]],Table171931[[#Headers],[2021]],TME[[#All],[Insurance Category Code]],5)</f>
        <v>0</v>
      </c>
      <c r="E247" s="143" t="str">
        <f>IFERROR(Table171931[[#This Row],[2021]]/Table171931[[#This Row],[2020]]-1,"NA")</f>
        <v>NA</v>
      </c>
      <c r="G247" s="82" t="s">
        <v>219</v>
      </c>
      <c r="H247" s="93" t="str">
        <f>IFERROR(Table171931[[#This Row],[2020]]/C233,"NA")</f>
        <v>NA</v>
      </c>
      <c r="I247" s="93" t="str">
        <f>IFERROR(Table171931[[#This Row],[2021]]/D233,"NA")</f>
        <v>NA</v>
      </c>
      <c r="J247" s="142" t="str">
        <f>IFERROR(Table1782032[[#This Row],[2021]]/Table1782032[[#This Row],[2020]]-1,"NA")</f>
        <v>NA</v>
      </c>
    </row>
    <row r="248" spans="2:15" x14ac:dyDescent="0.35">
      <c r="B248" s="64" t="s">
        <v>220</v>
      </c>
      <c r="C248" s="93">
        <f>SUM(C249:C250)</f>
        <v>0</v>
      </c>
      <c r="D248" s="93">
        <f>SUM(D249:D250)</f>
        <v>0</v>
      </c>
      <c r="E248" s="143" t="str">
        <f>IFERROR(Table171931[[#This Row],[2021]]/Table171931[[#This Row],[2020]]-1,"NA")</f>
        <v>NA</v>
      </c>
      <c r="G248" s="64" t="s">
        <v>220</v>
      </c>
      <c r="H248" s="93" t="str">
        <f>IFERROR(Table171931[[#This Row],[2020]]/C234,"NA")</f>
        <v>NA</v>
      </c>
      <c r="I248" s="93" t="str">
        <f>IFERROR(Table171931[[#This Row],[2021]]/D234,"NA")</f>
        <v>NA</v>
      </c>
      <c r="J248" s="142" t="str">
        <f>IFERROR(Table1782032[[#This Row],[2021]]/Table1782032[[#This Row],[2020]]-1,"NA")</f>
        <v>NA</v>
      </c>
    </row>
    <row r="249" spans="2:15" x14ac:dyDescent="0.35">
      <c r="B249" s="82" t="s">
        <v>221</v>
      </c>
      <c r="C249" s="93">
        <f>SUMIFS(TME[[#All],[Total Non-Truncated Claims and Non-Claims Spending]],TME[[#All],[Reporting Year]],Table171931[[#Headers],[2020]],TME[[#All],[Insurance Category Code]],2)</f>
        <v>0</v>
      </c>
      <c r="D249" s="93">
        <f>SUMIFS(TME[[#All],[Total Non-Truncated Claims and Non-Claims Spending]],TME[[#All],[Reporting Year]],Table171931[[#Headers],[2021]],TME[[#All],[Insurance Category Code]],2)</f>
        <v>0</v>
      </c>
      <c r="E249" s="143" t="str">
        <f>IFERROR(Table171931[[#This Row],[2021]]/Table171931[[#This Row],[2020]]-1,"NA")</f>
        <v>NA</v>
      </c>
      <c r="G249" s="82" t="s">
        <v>221</v>
      </c>
      <c r="H249" s="93" t="str">
        <f>IFERROR(Table171931[[#This Row],[2020]]/C235,"NA")</f>
        <v>NA</v>
      </c>
      <c r="I249" s="93" t="str">
        <f>IFERROR(Table171931[[#This Row],[2021]]/D235,"NA")</f>
        <v>NA</v>
      </c>
      <c r="J249" s="142" t="str">
        <f>IFERROR(Table1782032[[#This Row],[2021]]/Table1782032[[#This Row],[2020]]-1,"NA")</f>
        <v>NA</v>
      </c>
    </row>
    <row r="250" spans="2:15" x14ac:dyDescent="0.35">
      <c r="B250" s="82" t="s">
        <v>222</v>
      </c>
      <c r="C250" s="93">
        <f>SUMIFS(TME[[#All],[Total Non-Truncated Claims and Non-Claims Spending]],TME[[#All],[Reporting Year]],Table171931[[#Headers],[2020]],TME[[#All],[Insurance Category Code]],6)</f>
        <v>0</v>
      </c>
      <c r="D250" s="93">
        <f>SUMIFS(TME[[#All],[Total Non-Truncated Claims and Non-Claims Spending]],TME[[#All],[Reporting Year]],Table171931[[#Headers],[2021]],TME[[#All],[Insurance Category Code]],6)</f>
        <v>0</v>
      </c>
      <c r="E250" s="143" t="str">
        <f>IFERROR(Table171931[[#This Row],[2021]]/Table171931[[#This Row],[2020]]-1,"NA")</f>
        <v>NA</v>
      </c>
      <c r="G250" s="82" t="s">
        <v>222</v>
      </c>
      <c r="H250" s="93" t="str">
        <f>IFERROR(Table171931[[#This Row],[2020]]/C236,"NA")</f>
        <v>NA</v>
      </c>
      <c r="I250" s="93" t="str">
        <f>IFERROR(Table171931[[#This Row],[2021]]/D236,"NA")</f>
        <v>NA</v>
      </c>
      <c r="J250" s="142" t="str">
        <f>IFERROR(Table1782032[[#This Row],[2021]]/Table1782032[[#This Row],[2020]]-1,"NA")</f>
        <v>NA</v>
      </c>
    </row>
    <row r="251" spans="2:15" x14ac:dyDescent="0.35">
      <c r="B251" s="89" t="s">
        <v>192</v>
      </c>
      <c r="C251" s="94">
        <f>SUM(C242,C245,C248)</f>
        <v>0</v>
      </c>
      <c r="D251" s="94">
        <f>SUM(D242,D245,D248)</f>
        <v>0</v>
      </c>
      <c r="E251" s="143" t="str">
        <f>IFERROR(Table171931[[#This Row],[2021]]/Table171931[[#This Row],[2020]]-1,"NA")</f>
        <v>NA</v>
      </c>
      <c r="G251" s="89" t="s">
        <v>192</v>
      </c>
      <c r="H251" s="93" t="str">
        <f>IFERROR(Table171931[[#This Row],[2020]]/C237,"NA")</f>
        <v>NA</v>
      </c>
      <c r="I251" s="93" t="str">
        <f>IFERROR(Table171931[[#This Row],[2021]]/D237,"NA")</f>
        <v>NA</v>
      </c>
      <c r="J251" s="142" t="str">
        <f>IFERROR(Table1782032[[#This Row],[2021]]/Table1782032[[#This Row],[2020]]-1,"NA")</f>
        <v>NA</v>
      </c>
    </row>
    <row r="253" spans="2:15" x14ac:dyDescent="0.35">
      <c r="B253" s="71" t="s">
        <v>323</v>
      </c>
      <c r="G253" s="71" t="s">
        <v>324</v>
      </c>
      <c r="L253" s="71" t="s">
        <v>325</v>
      </c>
    </row>
    <row r="254" spans="2:15" x14ac:dyDescent="0.35">
      <c r="B254" s="70" t="s">
        <v>307</v>
      </c>
      <c r="G254" s="70" t="s">
        <v>307</v>
      </c>
      <c r="L254" s="70" t="s">
        <v>307</v>
      </c>
    </row>
    <row r="255" spans="2:15" x14ac:dyDescent="0.35">
      <c r="B255" s="69" t="s">
        <v>228</v>
      </c>
      <c r="C255" s="149" t="s">
        <v>283</v>
      </c>
      <c r="D255" s="149" t="s">
        <v>285</v>
      </c>
      <c r="E255" s="150" t="s">
        <v>213</v>
      </c>
      <c r="G255" s="69" t="s">
        <v>228</v>
      </c>
      <c r="H255" s="149" t="s">
        <v>283</v>
      </c>
      <c r="I255" s="149" t="s">
        <v>285</v>
      </c>
      <c r="J255" s="150" t="s">
        <v>213</v>
      </c>
      <c r="L255" s="69" t="s">
        <v>228</v>
      </c>
      <c r="M255" s="149" t="s">
        <v>283</v>
      </c>
      <c r="N255" s="149" t="s">
        <v>285</v>
      </c>
      <c r="O255" s="150" t="s">
        <v>213</v>
      </c>
    </row>
    <row r="256" spans="2:15" x14ac:dyDescent="0.35">
      <c r="B256" s="64" t="s">
        <v>90</v>
      </c>
      <c r="C256" s="141">
        <f>SUM(H256,M256)</f>
        <v>0</v>
      </c>
      <c r="D256" s="141">
        <f>SUM(I256,N256)</f>
        <v>0</v>
      </c>
      <c r="E256" s="143" t="str">
        <f>IFERROR(Table92133[[#This Row],[2021]]/Table92133[[#This Row],[2020]]-1,"NA")</f>
        <v>NA</v>
      </c>
      <c r="G256" s="64" t="s">
        <v>90</v>
      </c>
      <c r="H256" s="141">
        <f>SUMIFS(TME[[#All],[Member Months]],TME[[#All],[Reporting Year]],2020,TME[[#All],[Insurance Category Code]],3)</f>
        <v>0</v>
      </c>
      <c r="I256" s="141">
        <f>SUMIFS(TME[[#All],[Member Months]],TME[[#All],[Reporting Year]],2021,TME[[#All],[Insurance Category Code]],3)</f>
        <v>0</v>
      </c>
      <c r="J256" s="143" t="str">
        <f>IFERROR(Table9112234[[#This Row],[2021]]/Table9112234[[#This Row],[2020]]-1,"NA")</f>
        <v>NA</v>
      </c>
      <c r="L256" s="64" t="s">
        <v>90</v>
      </c>
      <c r="M256" s="141">
        <f>SUMIFS(TME[[#All],[Member Months]],TME[[#All],[Reporting Year]],2020,TME[[#All],[Insurance Category Code]],4)</f>
        <v>0</v>
      </c>
      <c r="N256" s="141">
        <f>SUMIFS(TME[[#All],[Member Months]],TME[[#All],[Reporting Year]],2021,TME[[#All],[Insurance Category Code]],4)</f>
        <v>0</v>
      </c>
      <c r="O256" s="143" t="str">
        <f>IFERROR(Table911122335[[#This Row],[2021]]/Table911122335[[#This Row],[2020]]-1,"NA")</f>
        <v>NA</v>
      </c>
    </row>
    <row r="257" spans="2:15" x14ac:dyDescent="0.35">
      <c r="B257" s="64" t="s">
        <v>91</v>
      </c>
      <c r="C257" s="146" t="str" cm="1">
        <f t="array" ref="C257">IFERROR((SUMPRODUCT(ICC3_MemberMonths_2020,H257)+SUMPRODUCT(ICC4_MemberMonths_2020,M257))/Commercial_MemberMonths_2020,"NA")</f>
        <v>NA</v>
      </c>
      <c r="D257" s="146" t="str" cm="1">
        <f t="array" ref="D257">IFERROR((SUMPRODUCT(ICC3_MemberMonths_2021,I257)+SUMPRODUCT(ICC4_MemberMonths_2021,N257))/Commercial_MemberMonths_2021,"NA")</f>
        <v>NA</v>
      </c>
      <c r="E257" s="143" t="str">
        <f>IFERROR(Table92133[[#This Row],[2021]]/Table92133[[#This Row],[2020]]-1,"NA")</f>
        <v>NA</v>
      </c>
      <c r="G257" s="64" t="s">
        <v>91</v>
      </c>
      <c r="H257" s="146" t="str" cm="1">
        <f t="array" ref="H257">IFERROR((SUMIFS(TME[[#All],[Claims: Hospital Inpatient]],TME[[#All],[Reporting Year]],2020,TME[[#All],[Insurance Category Code]],3))/ICC3_MemberMonths_2020,"NA")</f>
        <v>NA</v>
      </c>
      <c r="I257" s="146" t="str" cm="1">
        <f t="array" ref="I257">IFERROR((SUMIFS(TME[[#All],[Claims: Hospital Inpatient]],TME[[#All],[Reporting Year]],2021,TME[[#All],[Insurance Category Code]],3))/ICC3_MemberMonths_2021,"NA")</f>
        <v>NA</v>
      </c>
      <c r="J257" s="143" t="str">
        <f>IFERROR(Table9112234[[#This Row],[2021]]/Table9112234[[#This Row],[2020]]-1,"NA")</f>
        <v>NA</v>
      </c>
      <c r="L257" s="64" t="s">
        <v>91</v>
      </c>
      <c r="M257" s="146" t="str" cm="1">
        <f t="array" ref="M257">IFERROR((SUMIFS(TME[[#All],[Claims: Hospital Inpatient]],TME[[#All],[Reporting Year]],2020,TME[[#All],[Insurance Category Code]],4))/ICC4_MemberMonths_2020,"NA")</f>
        <v>NA</v>
      </c>
      <c r="N257" s="146" t="str" cm="1">
        <f t="array" ref="N257">IFERROR((SUMIFS(TME[[#All],[Claims: Hospital Inpatient]],TME[[#All],[Reporting Year]],2020,TME[[#All],[Insurance Category Code]],4))/ICC4_MemberMonths_2021,"NA")</f>
        <v>NA</v>
      </c>
      <c r="O257" s="143" t="str">
        <f>IFERROR(Table911122335[[#This Row],[2021]]/Table911122335[[#This Row],[2020]]-1,"NA")</f>
        <v>NA</v>
      </c>
    </row>
    <row r="258" spans="2:15" x14ac:dyDescent="0.35">
      <c r="B258" s="64" t="s">
        <v>92</v>
      </c>
      <c r="C258" s="146" t="str" cm="1">
        <f t="array" ref="C258">IFERROR((SUMPRODUCT(ICC3_MemberMonths_2020,H258)+SUMPRODUCT(ICC4_MemberMonths_2020,M258))/Commercial_MemberMonths_2020,"NA")</f>
        <v>NA</v>
      </c>
      <c r="D258" s="146" t="str" cm="1">
        <f t="array" ref="D258">IFERROR((SUMPRODUCT(ICC3_MemberMonths_2021,I258)+SUMPRODUCT(ICC4_MemberMonths_2021,N258))/Commercial_MemberMonths_2021,"NA")</f>
        <v>NA</v>
      </c>
      <c r="E258" s="143" t="str">
        <f>IFERROR(Table92133[[#This Row],[2021]]/Table92133[[#This Row],[2020]]-1,"NA")</f>
        <v>NA</v>
      </c>
      <c r="F258" s="37"/>
      <c r="G258" s="64" t="s">
        <v>92</v>
      </c>
      <c r="H258" s="146" t="str" cm="1">
        <f t="array" ref="H258">IFERROR((SUMIFS(TME[[#All],[Claims: Hospital Outpatient]],TME[[#All],[Reporting Year]],2020,TME[[#All],[Insurance Category Code]],3))/ICC3_MemberMonths_2020,"NA")</f>
        <v>NA</v>
      </c>
      <c r="I258" s="146" t="str" cm="1">
        <f t="array" ref="I258">IFERROR((SUMIFS(TME[[#All],[Claims: Hospital Outpatient]],TME[[#All],[Reporting Year]],2021,TME[[#All],[Insurance Category Code]],3))/ICC3_MemberMonths_2021,"NA")</f>
        <v>NA</v>
      </c>
      <c r="J258" s="143" t="str">
        <f>IFERROR(Table9112234[[#This Row],[2021]]/Table9112234[[#This Row],[2020]]-1,"NA")</f>
        <v>NA</v>
      </c>
      <c r="L258" s="64" t="s">
        <v>92</v>
      </c>
      <c r="M258" s="146" t="str" cm="1">
        <f t="array" ref="M258">IFERROR((SUMIFS(TME[[#All],[Claims: Hospital Outpatient]],TME[[#All],[Reporting Year]],2020,TME[[#All],[Insurance Category Code]],4))/ICC4_MemberMonths_2020,"NA")</f>
        <v>NA</v>
      </c>
      <c r="N258" s="146" t="str" cm="1">
        <f t="array" ref="N258">IFERROR((SUMIFS(TME[[#All],[Claims: Hospital Outpatient]],TME[[#All],[Reporting Year]],2020,TME[[#All],[Insurance Category Code]],4))/ICC4_MemberMonths_2021,"NA")</f>
        <v>NA</v>
      </c>
      <c r="O258" s="143" t="str">
        <f>IFERROR(Table911122335[[#This Row],[2021]]/Table911122335[[#This Row],[2020]]-1,"NA")</f>
        <v>NA</v>
      </c>
    </row>
    <row r="259" spans="2:15" x14ac:dyDescent="0.35">
      <c r="B259" s="64" t="s">
        <v>93</v>
      </c>
      <c r="C259" s="146" t="str" cm="1">
        <f t="array" ref="C259">IFERROR((SUMPRODUCT(ICC3_MemberMonths_2020,H259)+SUMPRODUCT(ICC4_MemberMonths_2020,M259))/Commercial_MemberMonths_2020,"NA")</f>
        <v>NA</v>
      </c>
      <c r="D259" s="146" t="str" cm="1">
        <f t="array" ref="D259">IFERROR((SUMPRODUCT(ICC3_MemberMonths_2021,I259)+SUMPRODUCT(ICC4_MemberMonths_2021,N259))/Commercial_MemberMonths_2021,"NA")</f>
        <v>NA</v>
      </c>
      <c r="E259" s="143" t="str">
        <f>IFERROR(Table92133[[#This Row],[2021]]/Table92133[[#This Row],[2020]]-1,"NA")</f>
        <v>NA</v>
      </c>
      <c r="G259" s="64" t="s">
        <v>93</v>
      </c>
      <c r="H259" s="146" t="str" cm="1">
        <f t="array" ref="H259">IFERROR((SUMIFS(TME[[#All],[Claims: Professional, Primary Care Providers]],TME[[#All],[Reporting Year]],2020,TME[[#All],[Insurance Category Code]],3))/ICC3_MemberMonths_2020,"NA")</f>
        <v>NA</v>
      </c>
      <c r="I259" s="146" t="str" cm="1">
        <f t="array" ref="I259">IFERROR((SUMIFS(TME[[#All],[Claims: Professional, Primary Care Providers]],TME[[#All],[Reporting Year]],2021,TME[[#All],[Insurance Category Code]],3))/ICC3_MemberMonths_2021,"NA")</f>
        <v>NA</v>
      </c>
      <c r="J259" s="143" t="str">
        <f>IFERROR(Table9112234[[#This Row],[2021]]/Table9112234[[#This Row],[2020]]-1,"NA")</f>
        <v>NA</v>
      </c>
      <c r="L259" s="64" t="s">
        <v>93</v>
      </c>
      <c r="M259" s="146" t="str" cm="1">
        <f t="array" ref="M259">IFERROR((SUMIFS(TME[[#All],[Claims: Professional, Primary Care Providers]],TME[[#All],[Reporting Year]],2020,TME[[#All],[Insurance Category Code]],4))/ICC4_MemberMonths_2020,"NA")</f>
        <v>NA</v>
      </c>
      <c r="N259" s="146" t="str" cm="1">
        <f t="array" ref="N259">IFERROR((SUMIFS(TME[[#All],[Claims: Professional, Primary Care Providers]],TME[[#All],[Reporting Year]],2020,TME[[#All],[Insurance Category Code]],4))/ICC4_MemberMonths_2021,"NA")</f>
        <v>NA</v>
      </c>
      <c r="O259" s="143" t="str">
        <f>IFERROR(Table911122335[[#This Row],[2021]]/Table911122335[[#This Row],[2020]]-1,"NA")</f>
        <v>NA</v>
      </c>
    </row>
    <row r="260" spans="2:15" x14ac:dyDescent="0.35">
      <c r="B260" s="64" t="s">
        <v>94</v>
      </c>
      <c r="C260" s="146" t="str" cm="1">
        <f t="array" ref="C260">IFERROR((SUMPRODUCT(ICC3_MemberMonths_2020,H260)+SUMPRODUCT(ICC4_MemberMonths_2020,M260))/Commercial_MemberMonths_2020,"NA")</f>
        <v>NA</v>
      </c>
      <c r="D260" s="146" t="str" cm="1">
        <f t="array" ref="D260">IFERROR((SUMPRODUCT(ICC3_MemberMonths_2021,I260)+SUMPRODUCT(ICC4_MemberMonths_2021,N260))/Commercial_MemberMonths_2021,"NA")</f>
        <v>NA</v>
      </c>
      <c r="E260" s="143" t="str">
        <f>IFERROR(Table92133[[#This Row],[2021]]/Table92133[[#This Row],[2020]]-1,"NA")</f>
        <v>NA</v>
      </c>
      <c r="G260" s="64" t="s">
        <v>94</v>
      </c>
      <c r="H260" s="146" t="str" cm="1">
        <f t="array" ref="H260">IFERROR((SUMIFS(TME[[#All],[Claims: Professional, Specialty Providers]],TME[[#All],[Reporting Year]],2020,TME[[#All],[Insurance Category Code]],3))/ICC3_MemberMonths_2020,"NA")</f>
        <v>NA</v>
      </c>
      <c r="I260" s="146" t="str" cm="1">
        <f t="array" ref="I260">IFERROR((SUMIFS(TME[[#All],[Claims: Professional, Specialty Providers]],TME[[#All],[Reporting Year]],2021,TME[[#All],[Insurance Category Code]],3))/ICC3_MemberMonths_2021,"NA")</f>
        <v>NA</v>
      </c>
      <c r="J260" s="143" t="str">
        <f>IFERROR(Table9112234[[#This Row],[2021]]/Table9112234[[#This Row],[2020]]-1,"NA")</f>
        <v>NA</v>
      </c>
      <c r="L260" s="64" t="s">
        <v>94</v>
      </c>
      <c r="M260" s="146" t="str" cm="1">
        <f t="array" ref="M260">IFERROR((SUMIFS(TME[[#All],[Claims: Professional, Specialty Providers]],TME[[#All],[Reporting Year]],2020,TME[[#All],[Insurance Category Code]],4))/ICC4_MemberMonths_2020,"NA")</f>
        <v>NA</v>
      </c>
      <c r="N260" s="146" t="str" cm="1">
        <f t="array" ref="N260">IFERROR((SUMIFS(TME[[#All],[Claims: Professional, Specialty Providers]],TME[[#All],[Reporting Year]],2020,TME[[#All],[Insurance Category Code]],4))/ICC4_MemberMonths_2021,"NA")</f>
        <v>NA</v>
      </c>
      <c r="O260" s="143" t="str">
        <f>IFERROR(Table911122335[[#This Row],[2021]]/Table911122335[[#This Row],[2020]]-1,"NA")</f>
        <v>NA</v>
      </c>
    </row>
    <row r="261" spans="2:15" x14ac:dyDescent="0.35">
      <c r="B261" s="64" t="s">
        <v>95</v>
      </c>
      <c r="C261" s="146" t="str" cm="1">
        <f t="array" ref="C261">IFERROR((SUMPRODUCT(ICC3_MemberMonths_2020,H261)+SUMPRODUCT(ICC4_MemberMonths_2020,M261))/Commercial_MemberMonths_2020,"NA")</f>
        <v>NA</v>
      </c>
      <c r="D261" s="146" t="str" cm="1">
        <f t="array" ref="D261">IFERROR((SUMPRODUCT(ICC3_MemberMonths_2021,I261)+SUMPRODUCT(ICC4_MemberMonths_2021,N261))/Commercial_MemberMonths_2021,"NA")</f>
        <v>NA</v>
      </c>
      <c r="E261" s="143" t="str">
        <f>IFERROR(Table92133[[#This Row],[2021]]/Table92133[[#This Row],[2020]]-1,"NA")</f>
        <v>NA</v>
      </c>
      <c r="G261" s="64" t="s">
        <v>95</v>
      </c>
      <c r="H261" s="146" t="str" cm="1">
        <f t="array" ref="H261">IFERROR((SUMIFS(TME[[#All],[Claims: Professional, Other Providers]],TME[[#All],[Reporting Year]],2020,TME[[#All],[Insurance Category Code]],3))/ICC3_MemberMonths_2020,"NA")</f>
        <v>NA</v>
      </c>
      <c r="I261" s="146" t="str" cm="1">
        <f t="array" ref="I261">IFERROR((SUMIFS(TME[[#All],[Claims: Professional, Other Providers]],TME[[#All],[Reporting Year]],2021,TME[[#All],[Insurance Category Code]],3))/ICC3_MemberMonths_2021,"NA")</f>
        <v>NA</v>
      </c>
      <c r="J261" s="143" t="str">
        <f>IFERROR(Table9112234[[#This Row],[2021]]/Table9112234[[#This Row],[2020]]-1,"NA")</f>
        <v>NA</v>
      </c>
      <c r="L261" s="64" t="s">
        <v>95</v>
      </c>
      <c r="M261" s="146" t="str" cm="1">
        <f t="array" ref="M261">IFERROR((SUMIFS(TME[[#All],[Claims: Professional, Other Providers]],TME[[#All],[Reporting Year]],2020,TME[[#All],[Insurance Category Code]],4))/ICC4_MemberMonths_2020,"NA")</f>
        <v>NA</v>
      </c>
      <c r="N261" s="146" t="str" cm="1">
        <f t="array" ref="N261">IFERROR((SUMIFS(TME[[#All],[Claims: Professional, Other Providers]],TME[[#All],[Reporting Year]],2020,TME[[#All],[Insurance Category Code]],4))/ICC4_MemberMonths_2021,"NA")</f>
        <v>NA</v>
      </c>
      <c r="O261" s="143" t="str">
        <f>IFERROR(Table911122335[[#This Row],[2021]]/Table911122335[[#This Row],[2020]]-1,"NA")</f>
        <v>NA</v>
      </c>
    </row>
    <row r="262" spans="2:15" x14ac:dyDescent="0.35">
      <c r="B262" s="64" t="s">
        <v>96</v>
      </c>
      <c r="C262" s="146" t="str" cm="1">
        <f t="array" ref="C262">IFERROR((SUMPRODUCT(ICC3_MemberMonths_2020,H262)+SUMPRODUCT(ICC4_MemberMonths_2020,M262))/Commercial_MemberMonths_2020,"NA")</f>
        <v>NA</v>
      </c>
      <c r="D262" s="146" t="str" cm="1">
        <f t="array" ref="D262">IFERROR((SUMPRODUCT(ICC3_MemberMonths_2021,I262)+SUMPRODUCT(ICC4_MemberMonths_2021,N262))/Commercial_MemberMonths_2021,"NA")</f>
        <v>NA</v>
      </c>
      <c r="E262" s="143" t="str">
        <f>IFERROR(Table92133[[#This Row],[2021]]/Table92133[[#This Row],[2020]]-1,"NA")</f>
        <v>NA</v>
      </c>
      <c r="G262" s="64" t="s">
        <v>96</v>
      </c>
      <c r="H262" s="146" t="str" cm="1">
        <f t="array" ref="H262">IFERROR((SUMIFS(TME[[#All],[Claims: Long-Term Care]],TME[[#All],[Reporting Year]],2020,TME[[#All],[Insurance Category Code]],3))/ICC3_MemberMonths_2020,"NA")</f>
        <v>NA</v>
      </c>
      <c r="I262" s="146" t="str" cm="1">
        <f t="array" ref="I262">IFERROR((SUMIFS(TME[[#All],[Claims: Long-Term Care]],TME[[#All],[Reporting Year]],2021,TME[[#All],[Insurance Category Code]],3))/ICC3_MemberMonths_2021,"NA")</f>
        <v>NA</v>
      </c>
      <c r="J262" s="143" t="str">
        <f>IFERROR(Table9112234[[#This Row],[2021]]/Table9112234[[#This Row],[2020]]-1,"NA")</f>
        <v>NA</v>
      </c>
      <c r="L262" s="64" t="s">
        <v>96</v>
      </c>
      <c r="M262" s="146" t="str" cm="1">
        <f t="array" ref="M262">IFERROR((SUMIFS(TME[[#All],[Claims: Long-Term Care]],TME[[#All],[Reporting Year]],2020,TME[[#All],[Insurance Category Code]],4))/ICC4_MemberMonths_2020,"NA")</f>
        <v>NA</v>
      </c>
      <c r="N262" s="146" t="str" cm="1">
        <f t="array" ref="N262">IFERROR((SUMIFS(TME[[#All],[Claims: Long-Term Care]],TME[[#All],[Reporting Year]],2020,TME[[#All],[Insurance Category Code]],4))/ICC4_MemberMonths_2021,"NA")</f>
        <v>NA</v>
      </c>
      <c r="O262" s="143" t="str">
        <f>IFERROR(Table911122335[[#This Row],[2021]]/Table911122335[[#This Row],[2020]]-1,"NA")</f>
        <v>NA</v>
      </c>
    </row>
    <row r="263" spans="2:15" x14ac:dyDescent="0.35">
      <c r="B263" s="64" t="s">
        <v>229</v>
      </c>
      <c r="C263" s="146" t="str" cm="1">
        <f t="array" ref="C263">IFERROR((SUMPRODUCT(ICC3_MemberMonths_2020,H263)+SUMPRODUCT(ICC4_MemberMonths_2020,M263))/Commercial_MemberMonths_2020,"NA")</f>
        <v>NA</v>
      </c>
      <c r="D263" s="146" t="str" cm="1">
        <f t="array" ref="D263">IFERROR((SUMPRODUCT(ICC3_MemberMonths_2021,I263)+SUMPRODUCT(ICC4_MemberMonths_2021,N263))/Commercial_MemberMonths_2021,"NA")</f>
        <v>NA</v>
      </c>
      <c r="E263" s="143" t="str">
        <f>IFERROR(Table92133[[#This Row],[2021]]/Table92133[[#This Row],[2020]]-1,"NA")</f>
        <v>NA</v>
      </c>
      <c r="G263" s="64" t="s">
        <v>229</v>
      </c>
      <c r="H263" s="146" t="str" cm="1">
        <f t="array" ref="H263">IFERROR((SUMIFS(TME[[#All],[Claims: Retail Pharmacy]],TME[[#All],[Reporting Year]],2020,TME[[#All],[Insurance Category Code]],3))/ICC3_MemberMonths_2020,"NA")</f>
        <v>NA</v>
      </c>
      <c r="I263" s="146" t="str" cm="1">
        <f t="array" ref="I263">IFERROR((SUMIFS(TME[[#All],[Claims: Retail Pharmacy]],TME[[#All],[Reporting Year]],2021,TME[[#All],[Insurance Category Code]],3))/ICC3_MemberMonths_2021,"NA")</f>
        <v>NA</v>
      </c>
      <c r="J263" s="143" t="str">
        <f>IFERROR(Table9112234[[#This Row],[2021]]/Table9112234[[#This Row],[2020]]-1,"NA")</f>
        <v>NA</v>
      </c>
      <c r="L263" s="64" t="s">
        <v>229</v>
      </c>
      <c r="M263" s="146" t="str" cm="1">
        <f t="array" ref="M263">IFERROR((SUMIFS(TME[[#All],[Claims: Retail Pharmacy]],TME[[#All],[Reporting Year]],2020,TME[[#All],[Insurance Category Code]],4))/ICC4_MemberMonths_2020,"NA")</f>
        <v>NA</v>
      </c>
      <c r="N263" s="146" t="str" cm="1">
        <f t="array" ref="N263">IFERROR((SUMIFS(TME[[#All],[Claims: Retail Pharmacy]],TME[[#All],[Reporting Year]],2020,TME[[#All],[Insurance Category Code]],4))/ICC4_MemberMonths_2021,"NA")</f>
        <v>NA</v>
      </c>
      <c r="O263" s="143" t="str">
        <f>IFERROR(Table911122335[[#This Row],[2021]]/Table911122335[[#This Row],[2020]]-1,"NA")</f>
        <v>NA</v>
      </c>
    </row>
    <row r="264" spans="2:15" x14ac:dyDescent="0.35">
      <c r="B264" s="82" t="s">
        <v>230</v>
      </c>
      <c r="C264" s="146" t="str" cm="1">
        <f t="array" ref="C264">IFERROR((SUMPRODUCT(ICC3_MemberMonths_2020,H264)+SUMPRODUCT(ICC4_MemberMonths_2020,M264))/Commercial_MemberMonths_2020,"NA")</f>
        <v>NA</v>
      </c>
      <c r="D264" s="146" t="str" cm="1">
        <f t="array" ref="D264">IFERROR((SUMPRODUCT(ICC3_MemberMonths_2021,I264)+SUMPRODUCT(ICC4_MemberMonths_2021,N264))/Commercial_MemberMonths_2021,"NA")</f>
        <v>NA</v>
      </c>
      <c r="E264" s="143" t="str">
        <f>IFERROR(Table92133[[#This Row],[2021]]/Table92133[[#This Row],[2020]]-1,"NA")</f>
        <v>NA</v>
      </c>
      <c r="G264" s="82" t="s">
        <v>230</v>
      </c>
      <c r="H264" s="146" t="str" cm="1">
        <f t="array" ref="H264">IFERROR((SUMIFS(TME[[#All],[Claims: Retail Pharmacy]],TME[[#All],[Reporting Year]],2020,TME[[#All],[Insurance Category Code]],3))-ABS(SUMIFS(RX_REBATE[[#All],[Total Pharmacy Rebate Amount]],RX_REBATE[[#All],[Reporting Year]],2020,RX_REBATE[[#All],[Insurance Category Code]],3))/ICC3_MemberMonths_2020,"NA")</f>
        <v>NA</v>
      </c>
      <c r="I264" s="146" t="str" cm="1">
        <f t="array" ref="I264">IFERROR((SUMIFS(TME[[#All],[Claims: Retail Pharmacy]],TME[[#All],[Reporting Year]],2021,TME[[#All],[Insurance Category Code]],3))-ABS(SUMIFS(RX_REBATE[[#All],[Total Pharmacy Rebate Amount]],RX_REBATE[[#All],[Reporting Year]],2021,RX_REBATE[[#All],[Insurance Category Code]],3))/ICC3_MemberMonths_2021,"NA")</f>
        <v>NA</v>
      </c>
      <c r="J264" s="143" t="str">
        <f>IFERROR(Table9112234[[#This Row],[2021]]/Table9112234[[#This Row],[2020]]-1,"NA")</f>
        <v>NA</v>
      </c>
      <c r="L264" s="82" t="s">
        <v>230</v>
      </c>
      <c r="M264" s="146" t="str">
        <f>IFERROR((SUMIFS(TME[[#All],[Claims: Retail Pharmacy]],TME[[#All],[Reporting Year]],2020,TME[[#All],[Insurance Category Code]],4))-ABS(SUMIFS(RX_REBATE[[#All],[Total Pharmacy Rebate Amount]],RX_REBATE[[#All],[Reporting Year]],2020,RX_REBATE[[#All],[Insurance Category Code]],4))/ICC4_MemberMonths_2020,"NA")</f>
        <v>NA</v>
      </c>
      <c r="N264" s="146" t="str">
        <f>IFERROR((SUMIFS(TME[[#All],[Claims: Retail Pharmacy]],TME[[#All],[Reporting Year]],2021,TME[[#All],[Insurance Category Code]],4))-ABS(SUMIFS(RX_REBATE[[#All],[Total Pharmacy Rebate Amount]],RX_REBATE[[#All],[Reporting Year]],2021,RX_REBATE[[#All],[Insurance Category Code]],4))/ICC4_MemberMonths_2021,"NA")</f>
        <v>NA</v>
      </c>
      <c r="O264" s="143" t="str">
        <f>IFERROR(Table911122335[[#This Row],[2021]]/Table911122335[[#This Row],[2020]]-1,"NA")</f>
        <v>NA</v>
      </c>
    </row>
    <row r="265" spans="2:15" x14ac:dyDescent="0.35">
      <c r="B265" s="82" t="s">
        <v>231</v>
      </c>
      <c r="C265" s="146" t="str" cm="1">
        <f t="array" ref="C265">IFERROR((SUMPRODUCT(ICC3_MemberMonths_2020,H265)+SUMPRODUCT(ICC4_MemberMonths_2020,M265))/Commercial_MemberMonths_2020,"NA")</f>
        <v>NA</v>
      </c>
      <c r="D265" s="146" t="str" cm="1">
        <f t="array" ref="D265">IFERROR((SUMPRODUCT(ICC3_MemberMonths_2021,I265)+SUMPRODUCT(ICC4_MemberMonths_2021,N265))/Commercial_MemberMonths_2021,"NA")</f>
        <v>NA</v>
      </c>
      <c r="E265" s="143" t="str">
        <f>IFERROR(Table92133[[#This Row],[2021]]/Table92133[[#This Row],[2020]]-1,"NA")</f>
        <v>NA</v>
      </c>
      <c r="G265" s="82" t="s">
        <v>231</v>
      </c>
      <c r="H265" s="146" t="str" cm="1">
        <f t="array" ref="H265">IFERROR(-ABS(SUMIFS(RX_REBATE[[#All],[Total Pharmacy Rebate Amount]],RX_REBATE[[#All],[Reporting Year]],2020,RX_REBATE[[#All],[Insurance Category Code]],3))/ICC3_MemberMonths_2020,"NA")</f>
        <v>NA</v>
      </c>
      <c r="I265" s="146" t="str" cm="1">
        <f t="array" ref="I265">IFERROR(-ABS(SUMIFS(RX_REBATE[[#All],[Total Pharmacy Rebate Amount]],RX_REBATE[[#All],[Reporting Year]],2021,RX_REBATE[[#All],[Insurance Category Code]],3))/ICC3_MemberMonths_2021,"NA")</f>
        <v>NA</v>
      </c>
      <c r="J265" s="143" t="str">
        <f>IFERROR(Table9112234[[#This Row],[2021]]/Table9112234[[#This Row],[2020]]-1,"NA")</f>
        <v>NA</v>
      </c>
      <c r="L265" s="82" t="s">
        <v>231</v>
      </c>
      <c r="M265" s="146" t="str">
        <f>IFERROR(-ABS(SUMIFS(RX_REBATE[[#All],[Total Pharmacy Rebate Amount]],RX_REBATE[[#All],[Reporting Year]],2020,RX_REBATE[[#All],[Insurance Category Code]],4))/ICC4_MemberMonths_2020,"NA")</f>
        <v>NA</v>
      </c>
      <c r="N265" s="146" t="str">
        <f>IFERROR(-ABS(SUMIFS(RX_REBATE[[#All],[Total Pharmacy Rebate Amount]],RX_REBATE[[#All],[Reporting Year]],2021,RX_REBATE[[#All],[Insurance Category Code]],4))/ICC4_MemberMonths_2021,"NA")</f>
        <v>NA</v>
      </c>
      <c r="O265" s="143" t="str">
        <f>IFERROR(Table911122335[[#This Row],[2021]]/Table911122335[[#This Row],[2020]]-1,"NA")</f>
        <v>NA</v>
      </c>
    </row>
    <row r="266" spans="2:15" x14ac:dyDescent="0.35">
      <c r="B266" s="64" t="s">
        <v>98</v>
      </c>
      <c r="C266" s="146" t="str" cm="1">
        <f t="array" ref="C266">IFERROR((SUMPRODUCT(ICC3_MemberMonths_2020,H266)+SUMPRODUCT(ICC4_MemberMonths_2020,M266))/Commercial_MemberMonths_2020,"NA")</f>
        <v>NA</v>
      </c>
      <c r="D266" s="146" t="str" cm="1">
        <f t="array" ref="D266">IFERROR((SUMPRODUCT(ICC3_MemberMonths_2021,I266)+SUMPRODUCT(ICC4_MemberMonths_2021,N266))/Commercial_MemberMonths_2021,"NA")</f>
        <v>NA</v>
      </c>
      <c r="E266" s="143" t="str">
        <f>IFERROR(Table92133[[#This Row],[2021]]/Table92133[[#This Row],[2020]]-1,"NA")</f>
        <v>NA</v>
      </c>
      <c r="G266" s="64" t="s">
        <v>98</v>
      </c>
      <c r="H266" s="146" t="str" cm="1">
        <f t="array" ref="H266">IFERROR((SUMIFS(TME[[#All],[Claims: Other]],TME[[#All],[Reporting Year]],2020,TME[[#All],[Insurance Category Code]],3))/ICC3_MemberMonths_2020,"NA")</f>
        <v>NA</v>
      </c>
      <c r="I266" s="146" t="str" cm="1">
        <f t="array" ref="I266">IFERROR((SUMIFS(TME[[#All],[Claims: Other]],TME[[#All],[Reporting Year]],2021,TME[[#All],[Insurance Category Code]],3))/ICC3_MemberMonths_2021,"NA")</f>
        <v>NA</v>
      </c>
      <c r="J266" s="143" t="str">
        <f>IFERROR(Table9112234[[#This Row],[2021]]/Table9112234[[#This Row],[2020]]-1,"NA")</f>
        <v>NA</v>
      </c>
      <c r="L266" s="64" t="s">
        <v>98</v>
      </c>
      <c r="M266" s="146" t="str" cm="1">
        <f t="array" ref="M266">IFERROR((SUMIFS(TME[[#All],[Claims: Other]],TME[[#All],[Reporting Year]],2020,TME[[#All],[Insurance Category Code]],4))/ICC4_MemberMonths_2020,"NA")</f>
        <v>NA</v>
      </c>
      <c r="N266" s="146" t="str" cm="1">
        <f t="array" ref="N266">IFERROR((SUMIFS(TME[[#All],[Claims: Other]],TME[[#All],[Reporting Year]],2021,TME[[#All],[Insurance Category Code]],4))/ICC4_MemberMonths_2021,"NA")</f>
        <v>NA</v>
      </c>
      <c r="O266" s="143" t="str">
        <f>IFERROR(Table911122335[[#This Row],[2021]]/Table911122335[[#This Row],[2020]]-1,"NA")</f>
        <v>NA</v>
      </c>
    </row>
    <row r="267" spans="2:15" x14ac:dyDescent="0.35">
      <c r="B267" s="83" t="s">
        <v>204</v>
      </c>
      <c r="C267" s="147" t="str" cm="1">
        <f t="array" ref="C267">IFERROR((SUMPRODUCT(ICC3_MemberMonths_2020,H267)+SUMPRODUCT(ICC4_MemberMonths_2020,M267))/Commercial_MemberMonths_2020,"NA")</f>
        <v>NA</v>
      </c>
      <c r="D267" s="147" t="str" cm="1">
        <f t="array" ref="D267">IFERROR((SUMPRODUCT(ICC3_MemberMonths_2021,I267)+SUMPRODUCT(ICC4_MemberMonths_2021,N267))/Commercial_MemberMonths_2021,"NA")</f>
        <v>NA</v>
      </c>
      <c r="E267" s="144" t="str">
        <f>IFERROR(Table92133[[#This Row],[2021]]/Table92133[[#This Row],[2020]]-1,"NA")</f>
        <v>NA</v>
      </c>
      <c r="G267" s="83" t="s">
        <v>204</v>
      </c>
      <c r="H267" s="147" t="str" cm="1">
        <f t="array" ref="H267">IFERROR((SUMIFS(TME[[#All],[Total Non-Truncated Claims Spending]],TME[[#All],[Reporting Year]],2020,TME[[#All],[Insurance Category Code]],3))/ICC3_MemberMonths_2020,"NA")</f>
        <v>NA</v>
      </c>
      <c r="I267" s="147" t="str" cm="1">
        <f t="array" ref="I267">IFERROR((SUMIFS(TME[[#All],[Total Non-Truncated Claims Spending]],TME[[#All],[Reporting Year]],2021,TME[[#All],[Insurance Category Code]],3))/ICC3_MemberMonths_2021,"NA")</f>
        <v>NA</v>
      </c>
      <c r="J267" s="144" t="str">
        <f>IFERROR(Table9112234[[#This Row],[2021]]/Table9112234[[#This Row],[2020]]-1,"NA")</f>
        <v>NA</v>
      </c>
      <c r="L267" s="83" t="s">
        <v>204</v>
      </c>
      <c r="M267" s="147" t="str">
        <f>IFERROR((SUMIFS(TME[[#All],[Total Non-Truncated Claims Spending]],TME[[#All],[Reporting Year]],2020,TME[[#All],[Insurance Category Code]],4))/ICC4_MemberMonths_2020,"NA")</f>
        <v>NA</v>
      </c>
      <c r="N267" s="147" t="str">
        <f>IFERROR((SUMIFS(TME[[#All],[Total Non-Truncated Claims Spending]],TME[[#All],[Reporting Year]],2021,TME[[#All],[Insurance Category Code]],4))/ICC4_MemberMonths_2021,"NA")</f>
        <v>NA</v>
      </c>
      <c r="O267" s="144" t="str">
        <f>IFERROR(Table911122335[[#This Row],[2021]]/Table911122335[[#This Row],[2020]]-1,"NA")</f>
        <v>NA</v>
      </c>
    </row>
    <row r="268" spans="2:15" x14ac:dyDescent="0.35">
      <c r="B268" s="83" t="s">
        <v>205</v>
      </c>
      <c r="C268" s="147" t="str" cm="1">
        <f t="array" ref="C268">IFERROR((SUMPRODUCT(ICC3_MemberMonths_2020,H268)+SUMPRODUCT(ICC4_MemberMonths_2020,M268))/Commercial_MemberMonths_2020,"NA")</f>
        <v>NA</v>
      </c>
      <c r="D268" s="147" t="str" cm="1">
        <f t="array" ref="D268">IFERROR((SUMPRODUCT(ICC3_MemberMonths_2021,I268)+SUMPRODUCT(ICC4_MemberMonths_2021,N268))/Commercial_MemberMonths_2021,"NA")</f>
        <v>NA</v>
      </c>
      <c r="E268" s="144" t="str">
        <f>IFERROR(Table92133[[#This Row],[2021]]/Table92133[[#This Row],[2020]]-1,"NA")</f>
        <v>NA</v>
      </c>
      <c r="G268" s="83" t="s">
        <v>205</v>
      </c>
      <c r="H268" s="147" t="str" cm="1">
        <f t="array" ref="H268">IFERROR((SUMIFS(TME[[#All],[Total Truncated Claims Spending]],TME[[#All],[Reporting Year]],2020,TME[[#All],[Insurance Category Code]],3))/ICC3_MemberMonths_2020,"NA")</f>
        <v>NA</v>
      </c>
      <c r="I268" s="147" t="str" cm="1">
        <f t="array" ref="I268">IFERROR((SUMIFS(TME[[#All],[Total Truncated Claims Spending]],TME[[#All],[Reporting Year]],2021,TME[[#All],[Insurance Category Code]],3))/ICC3_MemberMonths_2021,"NA")</f>
        <v>NA</v>
      </c>
      <c r="J268" s="144" t="str">
        <f>IFERROR(Table9112234[[#This Row],[2021]]/Table9112234[[#This Row],[2020]]-1,"NA")</f>
        <v>NA</v>
      </c>
      <c r="L268" s="83" t="s">
        <v>205</v>
      </c>
      <c r="M268" s="147" t="str">
        <f>IFERROR((SUMIFS(TME[[#All],[Total Truncated Claims Spending]],TME[[#All],[Reporting Year]],2020,TME[[#All],[Insurance Category Code]],4))/ICC4_MemberMonths_2020,"NA")</f>
        <v>NA</v>
      </c>
      <c r="N268" s="147" t="str">
        <f>IFERROR((SUMIFS(TME[[#All],[Total Truncated Claims Spending]],TME[[#All],[Reporting Year]],2021,TME[[#All],[Insurance Category Code]],4))/ICC4_MemberMonths_2021,"NA")</f>
        <v>NA</v>
      </c>
      <c r="O268" s="144" t="str">
        <f>IFERROR(Table911122335[[#This Row],[2021]]/Table911122335[[#This Row],[2020]]-1,"NA")</f>
        <v>NA</v>
      </c>
    </row>
    <row r="269" spans="2:15" x14ac:dyDescent="0.35">
      <c r="B269" s="64" t="s">
        <v>99</v>
      </c>
      <c r="C269" s="146" t="str" cm="1">
        <f t="array" ref="C269">IFERROR((SUMPRODUCT(ICC3_MemberMonths_2020,H269)+SUMPRODUCT(ICC4_MemberMonths_2020,M269))/Commercial_MemberMonths_2020,"NA")</f>
        <v>NA</v>
      </c>
      <c r="D269" s="146" t="str" cm="1">
        <f t="array" ref="D269">IFERROR((SUMPRODUCT(ICC3_MemberMonths_2021,I269)+SUMPRODUCT(ICC4_MemberMonths_2021,N269))/Commercial_MemberMonths_2021,"NA")</f>
        <v>NA</v>
      </c>
      <c r="E269" s="143" t="str">
        <f>IFERROR(Table92133[[#This Row],[2021]]/Table92133[[#This Row],[2020]]-1,"NA")</f>
        <v>NA</v>
      </c>
      <c r="G269" s="64" t="s">
        <v>99</v>
      </c>
      <c r="H269" s="146" t="str" cm="1">
        <f t="array" ref="H269">IFERROR((SUMIFS(TME[[#All],[Non-Claims: Capitation or Bundled Pmts]],TME[[#All],[Reporting Year]],2020,TME[[#All],[Insurance Category Code]],3))/ICC3_MemberMonths_2020,"NA")</f>
        <v>NA</v>
      </c>
      <c r="I269" s="146" t="str" cm="1">
        <f t="array" ref="I269">IFERROR((SUMIFS(TME[[#All],[Non-Claims: Capitation or Bundled Pmts]],TME[[#All],[Reporting Year]],2021,TME[[#All],[Insurance Category Code]],3))/ICC3_MemberMonths_2021,"NA")</f>
        <v>NA</v>
      </c>
      <c r="J269" s="143" t="str">
        <f>IFERROR(Table9112234[[#This Row],[2021]]/Table9112234[[#This Row],[2020]]-1,"NA")</f>
        <v>NA</v>
      </c>
      <c r="L269" s="64" t="s">
        <v>99</v>
      </c>
      <c r="M269" s="146" t="str" cm="1">
        <f t="array" ref="M269">IFERROR((SUMIFS(TME[[#All],[Non-Claims: Capitation or Bundled Pmts]],TME[[#All],[Reporting Year]],2020,TME[[#All],[Insurance Category Code]],4))/ICC4_MemberMonths_2020,"NA")</f>
        <v>NA</v>
      </c>
      <c r="N269" s="146" t="str">
        <f>IFERROR((SUMIFS(TME[[#All],[Non-Claims: Capitation or Bundled Pmts]],TME[[#All],[Reporting Year]],2021,TME[[#All],[Insurance Category Code]],4))/ICC4_MemberMonths_2021,"NA")</f>
        <v>NA</v>
      </c>
      <c r="O269" s="143" t="str">
        <f>IFERROR(Table911122335[[#This Row],[2021]]/Table911122335[[#This Row],[2020]]-1,"NA")</f>
        <v>NA</v>
      </c>
    </row>
    <row r="270" spans="2:15" x14ac:dyDescent="0.35">
      <c r="B270" s="64" t="s">
        <v>100</v>
      </c>
      <c r="C270" s="146" t="str" cm="1">
        <f t="array" ref="C270">IFERROR((SUMPRODUCT(ICC3_MemberMonths_2020,H270)+SUMPRODUCT(ICC4_MemberMonths_2020,M270))/Commercial_MemberMonths_2020,"NA")</f>
        <v>NA</v>
      </c>
      <c r="D270" s="146" t="str" cm="1">
        <f t="array" ref="D270">IFERROR((SUMPRODUCT(ICC3_MemberMonths_2021,I270)+SUMPRODUCT(ICC4_MemberMonths_2021,N270))/Commercial_MemberMonths_2021,"NA")</f>
        <v>NA</v>
      </c>
      <c r="E270" s="143" t="str">
        <f>IFERROR(Table92133[[#This Row],[2021]]/Table92133[[#This Row],[2020]]-1,"NA")</f>
        <v>NA</v>
      </c>
      <c r="G270" s="64" t="s">
        <v>100</v>
      </c>
      <c r="H270" s="146" t="str" cm="1">
        <f t="array" ref="H270">IFERROR((SUMIFS(TME[[#All],[Non-Claims: Performance Incentive Pmts]],TME[[#All],[Reporting Year]],2020,TME[[#All],[Insurance Category Code]],3))/ICC3_MemberMonths_2020,"NA")</f>
        <v>NA</v>
      </c>
      <c r="I270" s="146" t="str" cm="1">
        <f t="array" ref="I270">IFERROR((SUMIFS(TME[[#All],[Non-Claims: Performance Incentive Pmts]],TME[[#All],[Reporting Year]],2021,TME[[#All],[Insurance Category Code]],3))/ICC3_MemberMonths_2021,"NA")</f>
        <v>NA</v>
      </c>
      <c r="J270" s="143" t="str">
        <f>IFERROR(Table9112234[[#This Row],[2021]]/Table9112234[[#This Row],[2020]]-1,"NA")</f>
        <v>NA</v>
      </c>
      <c r="L270" s="64" t="s">
        <v>100</v>
      </c>
      <c r="M270" s="146" t="str" cm="1">
        <f t="array" ref="M270">IFERROR((SUMIFS(TME[[#All],[Non-Claims: Performance Incentive Pmts]],TME[[#All],[Reporting Year]],2020,TME[[#All],[Insurance Category Code]],4))/ICC4_MemberMonths_2020,"NA")</f>
        <v>NA</v>
      </c>
      <c r="N270" s="146" t="str">
        <f>IFERROR((SUMIFS(TME[[#All],[Non-Claims: Performance Incentive Pmts]],TME[[#All],[Reporting Year]],2021,TME[[#All],[Insurance Category Code]],4))/ICC4_MemberMonths_2021,"NA")</f>
        <v>NA</v>
      </c>
      <c r="O270" s="143" t="str">
        <f>IFERROR(Table911122335[[#This Row],[2021]]/Table911122335[[#This Row],[2020]]-1,"NA")</f>
        <v>NA</v>
      </c>
    </row>
    <row r="271" spans="2:15" x14ac:dyDescent="0.35">
      <c r="B271" s="64" t="s">
        <v>101</v>
      </c>
      <c r="C271" s="146" t="str" cm="1">
        <f t="array" ref="C271">IFERROR((SUMPRODUCT(ICC3_MemberMonths_2020,H271)+SUMPRODUCT(ICC4_MemberMonths_2020,M271))/Commercial_MemberMonths_2020,"NA")</f>
        <v>NA</v>
      </c>
      <c r="D271" s="146" t="str" cm="1">
        <f t="array" ref="D271">IFERROR((SUMPRODUCT(ICC3_MemberMonths_2021,I271)+SUMPRODUCT(ICC4_MemberMonths_2021,N271))/Commercial_MemberMonths_2021,"NA")</f>
        <v>NA</v>
      </c>
      <c r="E271" s="143" t="str">
        <f>IFERROR(Table92133[[#This Row],[2021]]/Table92133[[#This Row],[2020]]-1,"NA")</f>
        <v>NA</v>
      </c>
      <c r="G271" s="64" t="s">
        <v>101</v>
      </c>
      <c r="H271" s="146" t="str" cm="1">
        <f t="array" ref="H271">IFERROR((SUMIFS(TME[[#All],[Non-Claims: Pop Health and Practice Infrastructure Pmts]],TME[[#All],[Reporting Year]],2020,TME[[#All],[Insurance Category Code]],3))/ICC3_MemberMonths_2020,"NA")</f>
        <v>NA</v>
      </c>
      <c r="I271" s="146" t="str" cm="1">
        <f t="array" ref="I271">IFERROR((SUMIFS(TME[[#All],[Non-Claims: Pop Health and Practice Infrastructure Pmts]],TME[[#All],[Reporting Year]],2021,TME[[#All],[Insurance Category Code]],3))/ICC3_MemberMonths_2021,"NA")</f>
        <v>NA</v>
      </c>
      <c r="J271" s="143" t="str">
        <f>IFERROR(Table9112234[[#This Row],[2021]]/Table9112234[[#This Row],[2020]]-1,"NA")</f>
        <v>NA</v>
      </c>
      <c r="L271" s="64" t="s">
        <v>101</v>
      </c>
      <c r="M271" s="146" t="str" cm="1">
        <f t="array" ref="M271">IFERROR((SUMIFS(TME[[#All],[Non-Claims: Pop Health and Practice Infrastructure Pmts]],TME[[#All],[Reporting Year]],2020,TME[[#All],[Insurance Category Code]],4))/ICC4_MemberMonths_2020,"NA")</f>
        <v>NA</v>
      </c>
      <c r="N271" s="146" t="str">
        <f>IFERROR((SUMIFS(TME[[#All],[Non-Claims: Pop Health and Practice Infrastructure Pmts]],TME[[#All],[Reporting Year]],2021,TME[[#All],[Insurance Category Code]],4))/ICC4_MemberMonths_2021,"NA")</f>
        <v>NA</v>
      </c>
      <c r="O271" s="143" t="str">
        <f>IFERROR(Table911122335[[#This Row],[2021]]/Table911122335[[#This Row],[2020]]-1,"NA")</f>
        <v>NA</v>
      </c>
    </row>
    <row r="272" spans="2:15" x14ac:dyDescent="0.35">
      <c r="B272" s="64" t="s">
        <v>102</v>
      </c>
      <c r="C272" s="146" t="str" cm="1">
        <f t="array" ref="C272">IFERROR((SUMPRODUCT(ICC3_MemberMonths_2020,H272)+SUMPRODUCT(ICC4_MemberMonths_2020,M272))/Commercial_MemberMonths_2020,"NA")</f>
        <v>NA</v>
      </c>
      <c r="D272" s="146" t="str" cm="1">
        <f t="array" ref="D272">IFERROR((SUMPRODUCT(ICC3_MemberMonths_2021,I272)+SUMPRODUCT(ICC4_MemberMonths_2021,N272))/Commercial_MemberMonths_2021,"NA")</f>
        <v>NA</v>
      </c>
      <c r="E272" s="143" t="str">
        <f>IFERROR(Table92133[[#This Row],[2021]]/Table92133[[#This Row],[2020]]-1,"NA")</f>
        <v>NA</v>
      </c>
      <c r="G272" s="64" t="s">
        <v>102</v>
      </c>
      <c r="H272" s="146" t="str" cm="1">
        <f t="array" ref="H272">IFERROR((SUMIFS(TME[[#All],[Non-Claims: Provider Salaries]],TME[[#All],[Reporting Year]],2020,TME[[#All],[Insurance Category Code]],3))/ICC3_MemberMonths_2020,"NA")</f>
        <v>NA</v>
      </c>
      <c r="I272" s="146" t="str" cm="1">
        <f t="array" ref="I272">IFERROR((SUMIFS(TME[[#All],[Non-Claims: Provider Salaries]],TME[[#All],[Reporting Year]],2021,TME[[#All],[Insurance Category Code]],3))/ICC3_MemberMonths_2021,"NA")</f>
        <v>NA</v>
      </c>
      <c r="J272" s="143" t="str">
        <f>IFERROR(Table9112234[[#This Row],[2021]]/Table9112234[[#This Row],[2020]]-1,"NA")</f>
        <v>NA</v>
      </c>
      <c r="L272" s="64" t="s">
        <v>102</v>
      </c>
      <c r="M272" s="146" t="str" cm="1">
        <f t="array" ref="M272">IFERROR((SUMIFS(TME[[#All],[Non-Claims: Provider Salaries]],TME[[#All],[Reporting Year]],2020,TME[[#All],[Insurance Category Code]],4))/ICC4_MemberMonths_2020,"NA")</f>
        <v>NA</v>
      </c>
      <c r="N272" s="146" t="str">
        <f>IFERROR((SUMIFS(TME[[#All],[Non-Claims: Provider Salaries]],TME[[#All],[Reporting Year]],2021,TME[[#All],[Insurance Category Code]],4))/ICC4_MemberMonths_2021,"NA")</f>
        <v>NA</v>
      </c>
      <c r="O272" s="143" t="str">
        <f>IFERROR(Table911122335[[#This Row],[2021]]/Table911122335[[#This Row],[2020]]-1,"NA")</f>
        <v>NA</v>
      </c>
    </row>
    <row r="273" spans="2:15" x14ac:dyDescent="0.35">
      <c r="B273" s="64" t="s">
        <v>103</v>
      </c>
      <c r="C273" s="146" t="str" cm="1">
        <f t="array" ref="C273">IFERROR((SUMPRODUCT(ICC3_MemberMonths_2020,H273)+SUMPRODUCT(ICC4_MemberMonths_2020,M273))/Commercial_MemberMonths_2020,"NA")</f>
        <v>NA</v>
      </c>
      <c r="D273" s="146" t="str" cm="1">
        <f t="array" ref="D273">IFERROR((SUMPRODUCT(ICC3_MemberMonths_2021,I273)+SUMPRODUCT(ICC4_MemberMonths_2021,N273))/Commercial_MemberMonths_2021,"NA")</f>
        <v>NA</v>
      </c>
      <c r="E273" s="143" t="str">
        <f>IFERROR(Table92133[[#This Row],[2021]]/Table92133[[#This Row],[2020]]-1,"NA")</f>
        <v>NA</v>
      </c>
      <c r="G273" s="64" t="s">
        <v>103</v>
      </c>
      <c r="H273" s="146" t="str" cm="1">
        <f t="array" ref="H273">IFERROR((SUMIFS(TME[[#All],[Non-Claims: Recovery]],TME[[#All],[Reporting Year]],2020,TME[[#All],[Insurance Category Code]],3))/ICC3_MemberMonths_2020,"NA")</f>
        <v>NA</v>
      </c>
      <c r="I273" s="146" t="str" cm="1">
        <f t="array" ref="I273">IFERROR((SUMIFS(TME[[#All],[Non-Claims: Recovery]],TME[[#All],[Reporting Year]],2021,TME[[#All],[Insurance Category Code]],3))/ICC3_MemberMonths_2021,"NA")</f>
        <v>NA</v>
      </c>
      <c r="J273" s="143" t="str">
        <f>IFERROR(Table9112234[[#This Row],[2021]]/Table9112234[[#This Row],[2020]]-1,"NA")</f>
        <v>NA</v>
      </c>
      <c r="L273" s="64" t="s">
        <v>103</v>
      </c>
      <c r="M273" s="146" t="str" cm="1">
        <f t="array" ref="M273">IFERROR((SUMIFS(TME[[#All],[Non-Claims: Recovery]],TME[[#All],[Reporting Year]],2020,TME[[#All],[Insurance Category Code]],4))/ICC4_MemberMonths_2020,"NA")</f>
        <v>NA</v>
      </c>
      <c r="N273" s="146" t="str">
        <f>IFERROR((SUMIFS(TME[[#All],[Non-Claims: Recovery]],TME[[#All],[Reporting Year]],2021,TME[[#All],[Insurance Category Code]],4))/ICC4_MemberMonths_2021,"NA")</f>
        <v>NA</v>
      </c>
      <c r="O273" s="143" t="str">
        <f>IFERROR(Table911122335[[#This Row],[2021]]/Table911122335[[#This Row],[2020]]-1,"NA")</f>
        <v>NA</v>
      </c>
    </row>
    <row r="274" spans="2:15" x14ac:dyDescent="0.35">
      <c r="B274" s="64" t="s">
        <v>104</v>
      </c>
      <c r="C274" s="146" t="str" cm="1">
        <f t="array" ref="C274">IFERROR((SUMPRODUCT(ICC3_MemberMonths_2020,H274)+SUMPRODUCT(ICC4_MemberMonths_2020,M274))/Commercial_MemberMonths_2020,"NA")</f>
        <v>NA</v>
      </c>
      <c r="D274" s="146" t="str" cm="1">
        <f t="array" ref="D274">IFERROR((SUMPRODUCT(ICC3_MemberMonths_2021,I274)+SUMPRODUCT(ICC4_MemberMonths_2021,N274))/Commercial_MemberMonths_2021,"NA")</f>
        <v>NA</v>
      </c>
      <c r="E274" s="143" t="str">
        <f>IFERROR(Table92133[[#This Row],[2021]]/Table92133[[#This Row],[2020]]-1,"NA")</f>
        <v>NA</v>
      </c>
      <c r="G274" s="64" t="s">
        <v>104</v>
      </c>
      <c r="H274" s="146" t="str" cm="1">
        <f t="array" ref="H274">IFERROR((SUMIFS(TME[[#All],[Non-Claims: Other]],TME[[#All],[Reporting Year]],2020,TME[[#All],[Insurance Category Code]],3))/ICC3_MemberMonths_2020,"NA")</f>
        <v>NA</v>
      </c>
      <c r="I274" s="146" t="str" cm="1">
        <f t="array" ref="I274">IFERROR((SUMIFS(TME[[#All],[Non-Claims: Other]],TME[[#All],[Reporting Year]],2021,TME[[#All],[Insurance Category Code]],3))/ICC3_MemberMonths_2021,"NA")</f>
        <v>NA</v>
      </c>
      <c r="J274" s="143" t="str">
        <f>IFERROR(Table9112234[[#This Row],[2021]]/Table9112234[[#This Row],[2020]]-1,"NA")</f>
        <v>NA</v>
      </c>
      <c r="L274" s="64" t="s">
        <v>104</v>
      </c>
      <c r="M274" s="146" t="str" cm="1">
        <f t="array" ref="M274">IFERROR((SUMIFS(TME[[#All],[Non-Claims: Other]],TME[[#All],[Reporting Year]],2020,TME[[#All],[Insurance Category Code]],4))/ICC4_MemberMonths_2020,"NA")</f>
        <v>NA</v>
      </c>
      <c r="N274" s="146" t="str">
        <f>IFERROR((SUMIFS(TME[[#All],[Non-Claims: Other]],TME[[#All],[Reporting Year]],2021,TME[[#All],[Insurance Category Code]],4))/ICC4_MemberMonths_2021,"NA")</f>
        <v>NA</v>
      </c>
      <c r="O274" s="143" t="str">
        <f>IFERROR(Table911122335[[#This Row],[2021]]/Table911122335[[#This Row],[2020]]-1,"NA")</f>
        <v>NA</v>
      </c>
    </row>
    <row r="275" spans="2:15" x14ac:dyDescent="0.35">
      <c r="B275" s="64" t="s">
        <v>266</v>
      </c>
      <c r="C275" s="146" t="str" cm="1">
        <f t="array" ref="C275">IFERROR((SUMPRODUCT(ICC3_MemberMonths_2020,H275)+SUMPRODUCT(ICC4_MemberMonths_2020,M275))/Commercial_MemberMonths_2020,"NA")</f>
        <v>NA</v>
      </c>
      <c r="D275" s="146" t="str" cm="1">
        <f t="array" ref="D275">IFERROR((SUMPRODUCT(ICC3_MemberMonths_2021,I275)+SUMPRODUCT(ICC4_MemberMonths_2021,N275))/Commercial_MemberMonths_2021,"NA")</f>
        <v>NA</v>
      </c>
      <c r="E275" s="143" t="str">
        <f>IFERROR(Table92133[[#This Row],[2021]]/Table92133[[#This Row],[2020]]-1,"NA")</f>
        <v>NA</v>
      </c>
      <c r="G275" s="64" t="s">
        <v>266</v>
      </c>
      <c r="H275" s="146" t="str" cm="1">
        <f t="array" ref="H275">IFERROR((SUMIFS(TME[[#All],[Non-Claims: Total Primary Care Non-Claims-Based Payments]],TME[[#All],[Reporting Year]],2020,TME[[#All],[Insurance Category Code]],3))/ICC3_MemberMonths_2020,"NA")</f>
        <v>NA</v>
      </c>
      <c r="I275" s="146" t="str" cm="1">
        <f t="array" ref="I275">IFERROR((SUMIFS(TME[[#All],[Non-Claims: Total Primary Care Non-Claims-Based Payments]],TME[[#All],[Reporting Year]],2021,TME[[#All],[Insurance Category Code]],3))/ICC3_MemberMonths_2021,"NA")</f>
        <v>NA</v>
      </c>
      <c r="J275" s="143" t="str">
        <f>IFERROR(Table9112234[[#This Row],[2021]]/Table9112234[[#This Row],[2020]]-1,"NA")</f>
        <v>NA</v>
      </c>
      <c r="L275" s="64" t="s">
        <v>266</v>
      </c>
      <c r="M275" s="146" t="str" cm="1">
        <f t="array" ref="M275">IFERROR((SUMIFS(TME[[#All],[Non-Claims: Total Primary Care Non-Claims-Based Payments]],TME[[#All],[Reporting Year]],2020,TME[[#All],[Insurance Category Code]],4))/ICC4_MemberMonths_2020,"NA")</f>
        <v>NA</v>
      </c>
      <c r="N275" s="146" t="str">
        <f>IFERROR((SUMIFS(TME[[#All],[Non-Claims: Total Primary Care Non-Claims-Based Payments]],TME[[#All],[Reporting Year]],2021,TME[[#All],[Insurance Category Code]],4))/ICC4_MemberMonths_2021,"NA")</f>
        <v>NA</v>
      </c>
      <c r="O275" s="143" t="str">
        <f>IFERROR(Table911122335[[#This Row],[2021]]/Table911122335[[#This Row],[2020]]-1,"NA")</f>
        <v>NA</v>
      </c>
    </row>
    <row r="276" spans="2:15" x14ac:dyDescent="0.35">
      <c r="B276" s="83" t="s">
        <v>232</v>
      </c>
      <c r="C276" s="147" t="str" cm="1">
        <f t="array" ref="C276">IFERROR((SUMPRODUCT(ICC3_MemberMonths_2020,H276)+SUMPRODUCT(ICC4_MemberMonths_2020,M276))/Commercial_MemberMonths_2020,"NA")</f>
        <v>NA</v>
      </c>
      <c r="D276" s="147" t="str" cm="1">
        <f t="array" ref="D276">IFERROR((SUMPRODUCT(ICC3_MemberMonths_2021,I276)+SUMPRODUCT(ICC4_MemberMonths_2021,N276))/Commercial_MemberMonths_2021,"NA")</f>
        <v>NA</v>
      </c>
      <c r="E276" s="143" t="str">
        <f>IFERROR(Table92133[[#This Row],[2021]]/Table92133[[#This Row],[2020]]-1,"NA")</f>
        <v>NA</v>
      </c>
      <c r="G276" s="83" t="s">
        <v>232</v>
      </c>
      <c r="H276" s="147" t="str" cm="1">
        <f t="array" ref="H276">IFERROR((SUMIFS(TME[[#All],[Total Non-Claims Spending]],TME[[#All],[Reporting Year]],2020,TME[[#All],[Insurance Category Code]],3))/ICC3_MemberMonths_2020,"NA")</f>
        <v>NA</v>
      </c>
      <c r="I276" s="147" t="str" cm="1">
        <f t="array" ref="I276">IFERROR((SUMIFS(TME[[#All],[Total Non-Claims Spending]],TME[[#All],[Reporting Year]],2021,TME[[#All],[Insurance Category Code]],3))/ICC3_MemberMonths_2021,"NA")</f>
        <v>NA</v>
      </c>
      <c r="J276" s="143" t="str">
        <f>IFERROR(Table9112234[[#This Row],[2021]]/Table9112234[[#This Row],[2020]]-1,"NA")</f>
        <v>NA</v>
      </c>
      <c r="L276" s="83" t="s">
        <v>232</v>
      </c>
      <c r="M276" s="147" t="str" cm="1">
        <f t="array" ref="M276">IFERROR((SUMIFS(TME[[#All],[Total Non-Claims Spending]],TME[[#All],[Reporting Year]],2020,TME[[#All],[Insurance Category Code]],4))/ICC4_MemberMonths_2020,"NA")</f>
        <v>NA</v>
      </c>
      <c r="N276" s="147" t="str">
        <f>IFERROR((SUMIFS(TME[[#All],[Total Non-Claims Spending]],TME[[#All],[Reporting Year]],2021,TME[[#All],[Insurance Category Code]],4))/ICC4_MemberMonths_2021,"NA")</f>
        <v>NA</v>
      </c>
      <c r="O276" s="143" t="str">
        <f>IFERROR(Table911122335[[#This Row],[2021]]/Table911122335[[#This Row],[2020]]-1,"NA")</f>
        <v>NA</v>
      </c>
    </row>
    <row r="277" spans="2:15" x14ac:dyDescent="0.35">
      <c r="B277" s="84" t="s">
        <v>233</v>
      </c>
      <c r="C277" s="148" t="str" cm="1">
        <f t="array" ref="C277">IFERROR((SUMPRODUCT(ICC3_MemberMonths_2020,H277)+SUMPRODUCT(ICC4_MemberMonths_2020,M277))/Commercial_MemberMonths_2020,"NA")</f>
        <v>NA</v>
      </c>
      <c r="D277" s="148" t="str" cm="1">
        <f t="array" ref="D277">IFERROR((SUMPRODUCT(ICC3_MemberMonths_2021,I277)+SUMPRODUCT(ICC4_MemberMonths_2021,N277))/Commercial_MemberMonths_2021,"NA")</f>
        <v>NA</v>
      </c>
      <c r="E277" s="145" t="str">
        <f>IFERROR(Table92133[[#This Row],[2021]]/Table92133[[#This Row],[2020]]-1,"NA")</f>
        <v>NA</v>
      </c>
      <c r="G277" s="84" t="s">
        <v>233</v>
      </c>
      <c r="H277" s="148" t="str" cm="1">
        <f t="array" ref="H277">IFERROR((SUMIFS(TME[[#All],[Total Non-Truncated Claims and Non-Claims Spending]],TME[[#All],[Reporting Year]],2020,TME[[#All],[Insurance Category Code]],3))/ICC3_MemberMonths_2020,"NA")</f>
        <v>NA</v>
      </c>
      <c r="I277" s="148" t="str" cm="1">
        <f t="array" ref="I277">IFERROR((SUMIFS(TME[[#All],[Total Non-Truncated Claims and Non-Claims Spending]],TME[[#All],[Reporting Year]],2021,TME[[#All],[Insurance Category Code]],3))/ICC3_MemberMonths_2021,"NA")</f>
        <v>NA</v>
      </c>
      <c r="J277" s="145" t="str">
        <f>IFERROR(Table9112234[[#This Row],[2021]]/Table9112234[[#This Row],[2020]]-1,"NA")</f>
        <v>NA</v>
      </c>
      <c r="L277" s="84" t="s">
        <v>233</v>
      </c>
      <c r="M277" s="148" t="str">
        <f>IFERROR((SUMIFS(TME[[#All],[Total Non-Truncated Claims and Non-Claims Spending]],TME[[#All],[Reporting Year]],2020,TME[[#All],[Insurance Category Code]],4))/ICC4_MemberMonths_2020,"NA")</f>
        <v>NA</v>
      </c>
      <c r="N277" s="148" t="str">
        <f>IFERROR((SUMIFS(TME[[#All],[Total Non-Truncated Claims and Non-Claims Spending]],TME[[#All],[Reporting Year]],2021,TME[[#All],[Insurance Category Code]],4))/ICC4_MemberMonths_2021,"NA")</f>
        <v>NA</v>
      </c>
      <c r="O277" s="145" t="str">
        <f>IFERROR(Table911122335[[#This Row],[2021]]/Table911122335[[#This Row],[2020]]-1,"NA")</f>
        <v>NA</v>
      </c>
    </row>
    <row r="278" spans="2:15" x14ac:dyDescent="0.35">
      <c r="B278" s="85" t="s">
        <v>234</v>
      </c>
      <c r="C278" s="148" t="str" cm="1">
        <f t="array" ref="C278">IFERROR((SUMPRODUCT(ICC3_MemberMonths_2020,H278)+SUMPRODUCT(ICC4_MemberMonths_2020,M278))/Commercial_MemberMonths_2020,"NA")</f>
        <v>NA</v>
      </c>
      <c r="D278" s="148" t="str" cm="1">
        <f t="array" ref="D278">IFERROR((SUMPRODUCT(ICC3_MemberMonths_2021,I278)+SUMPRODUCT(ICC4_MemberMonths_2021,N278))/Commercial_MemberMonths_2021,"NA")</f>
        <v>NA</v>
      </c>
      <c r="E278" s="145" t="str">
        <f>IFERROR(Table92133[[#This Row],[2021]]/Table92133[[#This Row],[2020]]-1,"NA")</f>
        <v>NA</v>
      </c>
      <c r="G278" s="85" t="s">
        <v>234</v>
      </c>
      <c r="H278" s="148" t="str" cm="1">
        <f t="array" ref="H278">IFERROR((SUMIFS(TME[[#All],[Truncated Total Expenses (Total Truncated Claims Expenses + Non-Claims Expenses)]],TME[[#All],[Reporting Year]],2020,TME[[#All],[Insurance Category Code]],3))/ICC3_MemberMonths_2020,"NA")</f>
        <v>NA</v>
      </c>
      <c r="I278" s="148" t="str" cm="1">
        <f t="array" ref="I278">IFERROR((SUMIFS(TME[[#All],[Truncated Total Expenses (Total Truncated Claims Expenses + Non-Claims Expenses)]],TME[[#All],[Reporting Year]],2021,TME[[#All],[Insurance Category Code]],3))/ICC3_MemberMonths_2021,"NA")</f>
        <v>NA</v>
      </c>
      <c r="J278" s="145" t="str">
        <f>IFERROR(Table9112234[[#This Row],[2021]]/Table9112234[[#This Row],[2020]]-1,"NA")</f>
        <v>NA</v>
      </c>
      <c r="L278" s="85" t="s">
        <v>234</v>
      </c>
      <c r="M278" s="148" t="str">
        <f>IFERROR((SUMIFS(TME[[#All],[Truncated Total Expenses (Total Truncated Claims Expenses + Non-Claims Expenses)]],TME[[#All],[Reporting Year]],2020,TME[[#All],[Insurance Category Code]],4))/ICC4_MemberMonths_2020,"NA")</f>
        <v>NA</v>
      </c>
      <c r="N278" s="148" t="str">
        <f>IFERROR((SUMIFS(TME[[#All],[Truncated Total Expenses (Total Truncated Claims Expenses + Non-Claims Expenses)]],TME[[#All],[Reporting Year]],2021,TME[[#All],[Insurance Category Code]],4))/ICC4_MemberMonths_2021,"NA")</f>
        <v>NA</v>
      </c>
      <c r="O278" s="145" t="str">
        <f>IFERROR(Table911122335[[#This Row],[2021]]/Table911122335[[#This Row],[2020]]-1,"NA")</f>
        <v>NA</v>
      </c>
    </row>
    <row r="280" spans="2:15" x14ac:dyDescent="0.35">
      <c r="B280" s="71" t="s">
        <v>326</v>
      </c>
      <c r="G280" s="71" t="s">
        <v>327</v>
      </c>
      <c r="L280" s="71" t="s">
        <v>328</v>
      </c>
    </row>
    <row r="281" spans="2:15" x14ac:dyDescent="0.35">
      <c r="B281" s="70" t="s">
        <v>307</v>
      </c>
      <c r="G281" s="70" t="s">
        <v>307</v>
      </c>
      <c r="L281" s="70" t="s">
        <v>307</v>
      </c>
    </row>
    <row r="282" spans="2:15" x14ac:dyDescent="0.35">
      <c r="B282" s="69" t="s">
        <v>228</v>
      </c>
      <c r="C282" s="149" t="s">
        <v>283</v>
      </c>
      <c r="D282" s="149" t="s">
        <v>285</v>
      </c>
      <c r="E282" s="150" t="s">
        <v>213</v>
      </c>
      <c r="G282" s="69" t="s">
        <v>228</v>
      </c>
      <c r="H282" s="149" t="s">
        <v>283</v>
      </c>
      <c r="I282" s="149" t="s">
        <v>285</v>
      </c>
      <c r="J282" s="150" t="s">
        <v>213</v>
      </c>
      <c r="L282" s="69" t="s">
        <v>228</v>
      </c>
      <c r="M282" s="149" t="s">
        <v>283</v>
      </c>
      <c r="N282" s="149" t="s">
        <v>285</v>
      </c>
      <c r="O282" s="150" t="s">
        <v>213</v>
      </c>
    </row>
    <row r="283" spans="2:15" x14ac:dyDescent="0.35">
      <c r="B283" s="64" t="s">
        <v>90</v>
      </c>
      <c r="C283" s="141">
        <f>SUM(H283,M283)</f>
        <v>0</v>
      </c>
      <c r="D283" s="141">
        <f>SUM(I283,N283)</f>
        <v>0</v>
      </c>
      <c r="E283" s="143" t="str">
        <f>IFERROR(Table9132436[[#This Row],[2021]]/Table9132436[[#This Row],[2020]]-1,"NA")</f>
        <v>NA</v>
      </c>
      <c r="G283" s="64" t="s">
        <v>90</v>
      </c>
      <c r="H283" s="141">
        <f>SUMIFS(TME[[#All],[Member Months]],TME[[#All],[Reporting Year]],2020,TME[[#All],[Insurance Category Code]],1)</f>
        <v>0</v>
      </c>
      <c r="I283" s="141">
        <f>SUMIFS(TME[[#All],[Member Months]],TME[[#All],[Reporting Year]],2021,TME[[#All],[Insurance Category Code]],1)</f>
        <v>0</v>
      </c>
      <c r="J283" s="143" t="str">
        <f>IFERROR(Table911142537[[#This Row],[2021]]/Table911142537[[#This Row],[2020]]-1,"NA")</f>
        <v>NA</v>
      </c>
      <c r="L283" s="64" t="s">
        <v>90</v>
      </c>
      <c r="M283" s="141">
        <f>SUMIFS(TME[[#All],[Member Months]],TME[[#All],[Reporting Year]],2020,TME[[#All],[Insurance Category Code]],5)</f>
        <v>0</v>
      </c>
      <c r="N283" s="141">
        <f>SUMIFS(TME[[#All],[Member Months]],TME[[#All],[Reporting Year]],2021,TME[[#All],[Insurance Category Code]],5)</f>
        <v>0</v>
      </c>
      <c r="O283" s="143" t="str">
        <f>IFERROR(Table91112152638[[#This Row],[2021]]/Table91112152638[[#This Row],[2020]]-1,"NA")</f>
        <v>NA</v>
      </c>
    </row>
    <row r="284" spans="2:15" x14ac:dyDescent="0.35">
      <c r="B284" s="64" t="s">
        <v>91</v>
      </c>
      <c r="C284" s="146" t="str">
        <f t="shared" ref="C284:C305" si="10">IFERROR((SUMPRODUCT(ICC1_MemberMonths_2020,H284)+SUMPRODUCT(ICC5_MemberMonths_2020,M284))/Medicare_MemberMonths_2020,"NA")</f>
        <v>NA</v>
      </c>
      <c r="D284" s="146" t="str">
        <f t="shared" ref="D284:D305" si="11">IFERROR((SUMPRODUCT(ICC1_MemberMonths_2021,I284)+SUMPRODUCT(ICC5_MemberMonths_2021,N284))/Medicare_MemberMonths_2021,"NA")</f>
        <v>NA</v>
      </c>
      <c r="E284" s="143" t="str">
        <f>IFERROR(Table9132436[[#This Row],[2021]]/Table9132436[[#This Row],[2020]]-1,"NA")</f>
        <v>NA</v>
      </c>
      <c r="G284" s="64" t="s">
        <v>91</v>
      </c>
      <c r="H284" s="146" t="str" cm="1">
        <f t="array" ref="H284">IFERROR((SUMIFS(TME[[#All],[Claims: Hospital Inpatient]],TME[[#All],[Reporting Year]],2020,TME[[#All],[Insurance Category Code]],1))/ICC1_MemberMonths_2020,"NA")</f>
        <v>NA</v>
      </c>
      <c r="I284" s="146" t="str" cm="1">
        <f t="array" ref="I284">IFERROR((SUMIFS(TME[[#All],[Claims: Hospital Inpatient]],TME[[#All],[Reporting Year]],2021,TME[[#All],[Insurance Category Code]],1))/ICC1_MemberMonths_2021,"NA")</f>
        <v>NA</v>
      </c>
      <c r="J284" s="143" t="str">
        <f>IFERROR(Table911142537[[#This Row],[2021]]/Table911142537[[#This Row],[2020]]-1,"NA")</f>
        <v>NA</v>
      </c>
      <c r="L284" s="64" t="s">
        <v>91</v>
      </c>
      <c r="M284" s="146" t="str" cm="1">
        <f t="array" ref="M284">IFERROR((SUMIFS(TME[[#All],[Claims: Hospital Inpatient]],TME[[#All],[Reporting Year]],2020,TME[[#All],[Insurance Category Code]],5))/ICC5_MemberMonths_2020,"NA")</f>
        <v>NA</v>
      </c>
      <c r="N284" s="146" t="str" cm="1">
        <f t="array" ref="N284">IFERROR((SUMIFS(TME[[#All],[Claims: Hospital Inpatient]],TME[[#All],[Reporting Year]],2021,TME[[#All],[Insurance Category Code]],5))/ICC5_MemberMonths_2021,"NA")</f>
        <v>NA</v>
      </c>
      <c r="O284" s="143" t="str">
        <f>IFERROR(Table91112152638[[#This Row],[2021]]/Table91112152638[[#This Row],[2020]]-1,"NA")</f>
        <v>NA</v>
      </c>
    </row>
    <row r="285" spans="2:15" x14ac:dyDescent="0.35">
      <c r="B285" s="64" t="s">
        <v>92</v>
      </c>
      <c r="C285" s="146" t="str">
        <f t="shared" si="10"/>
        <v>NA</v>
      </c>
      <c r="D285" s="146" t="str">
        <f t="shared" si="11"/>
        <v>NA</v>
      </c>
      <c r="E285" s="143" t="str">
        <f>IFERROR(Table9132436[[#This Row],[2021]]/Table9132436[[#This Row],[2020]]-1,"NA")</f>
        <v>NA</v>
      </c>
      <c r="F285" s="37"/>
      <c r="G285" s="64" t="s">
        <v>92</v>
      </c>
      <c r="H285" s="146" t="str" cm="1">
        <f t="array" ref="H285">IFERROR((SUMIFS(TME[[#All],[Claims: Hospital Outpatient]],TME[[#All],[Reporting Year]],2020,TME[[#All],[Insurance Category Code]],1))/ICC1_MemberMonths_2020,"NA")</f>
        <v>NA</v>
      </c>
      <c r="I285" s="146" t="str" cm="1">
        <f t="array" ref="I285">IFERROR((SUMIFS(TME[[#All],[Claims: Hospital Outpatient]],TME[[#All],[Reporting Year]],2021,TME[[#All],[Insurance Category Code]],1))/ICC1_MemberMonths_2021,"NA")</f>
        <v>NA</v>
      </c>
      <c r="J285" s="143" t="str">
        <f>IFERROR(Table911142537[[#This Row],[2021]]/Table911142537[[#This Row],[2020]]-1,"NA")</f>
        <v>NA</v>
      </c>
      <c r="L285" s="64" t="s">
        <v>92</v>
      </c>
      <c r="M285" s="146" t="str" cm="1">
        <f t="array" ref="M285">IFERROR((SUMIFS(TME[[#All],[Claims: Hospital Outpatient]],TME[[#All],[Reporting Year]],2020,TME[[#All],[Insurance Category Code]],5))/ICC5_MemberMonths_2020,"NA")</f>
        <v>NA</v>
      </c>
      <c r="N285" s="146" t="str" cm="1">
        <f t="array" ref="N285">IFERROR((SUMIFS(TME[[#All],[Claims: Hospital Outpatient]],TME[[#All],[Reporting Year]],2021,TME[[#All],[Insurance Category Code]],5))/ICC5_MemberMonths_2021,"NA")</f>
        <v>NA</v>
      </c>
      <c r="O285" s="143" t="str">
        <f>IFERROR(Table91112152638[[#This Row],[2021]]/Table91112152638[[#This Row],[2020]]-1,"NA")</f>
        <v>NA</v>
      </c>
    </row>
    <row r="286" spans="2:15" x14ac:dyDescent="0.35">
      <c r="B286" s="64" t="s">
        <v>93</v>
      </c>
      <c r="C286" s="146" t="str">
        <f t="shared" si="10"/>
        <v>NA</v>
      </c>
      <c r="D286" s="146" t="str">
        <f t="shared" si="11"/>
        <v>NA</v>
      </c>
      <c r="E286" s="143" t="str">
        <f>IFERROR(Table9132436[[#This Row],[2021]]/Table9132436[[#This Row],[2020]]-1,"NA")</f>
        <v>NA</v>
      </c>
      <c r="G286" s="64" t="s">
        <v>93</v>
      </c>
      <c r="H286" s="146" t="str" cm="1">
        <f t="array" ref="H286">IFERROR((SUMIFS(TME[[#All],[Claims: Professional, Primary Care Providers]],TME[[#All],[Reporting Year]],2020,TME[[#All],[Insurance Category Code]],1))/ICC1_MemberMonths_2020,"NA")</f>
        <v>NA</v>
      </c>
      <c r="I286" s="146" t="str" cm="1">
        <f t="array" ref="I286">IFERROR((SUMIFS(TME[[#All],[Claims: Professional, Primary Care Providers]],TME[[#All],[Reporting Year]],2021,TME[[#All],[Insurance Category Code]],1))/ICC1_MemberMonths_2021,"NA")</f>
        <v>NA</v>
      </c>
      <c r="J286" s="143" t="str">
        <f>IFERROR(Table911142537[[#This Row],[2021]]/Table911142537[[#This Row],[2020]]-1,"NA")</f>
        <v>NA</v>
      </c>
      <c r="L286" s="64" t="s">
        <v>93</v>
      </c>
      <c r="M286" s="146" t="str" cm="1">
        <f t="array" ref="M286">IFERROR((SUMIFS(TME[[#All],[Claims: Professional, Primary Care Providers]],TME[[#All],[Reporting Year]],2020,TME[[#All],[Insurance Category Code]],5))/ICC5_MemberMonths_2020,"NA")</f>
        <v>NA</v>
      </c>
      <c r="N286" s="146" t="str" cm="1">
        <f t="array" ref="N286">IFERROR((SUMIFS(TME[[#All],[Claims: Professional, Primary Care Providers]],TME[[#All],[Reporting Year]],2021,TME[[#All],[Insurance Category Code]],5))/ICC5_MemberMonths_2021,"NA")</f>
        <v>NA</v>
      </c>
      <c r="O286" s="143" t="str">
        <f>IFERROR(Table91112152638[[#This Row],[2021]]/Table91112152638[[#This Row],[2020]]-1,"NA")</f>
        <v>NA</v>
      </c>
    </row>
    <row r="287" spans="2:15" x14ac:dyDescent="0.35">
      <c r="B287" s="64" t="s">
        <v>94</v>
      </c>
      <c r="C287" s="146" t="str">
        <f t="shared" si="10"/>
        <v>NA</v>
      </c>
      <c r="D287" s="146" t="str">
        <f t="shared" si="11"/>
        <v>NA</v>
      </c>
      <c r="E287" s="143" t="str">
        <f>IFERROR(Table9132436[[#This Row],[2021]]/Table9132436[[#This Row],[2020]]-1,"NA")</f>
        <v>NA</v>
      </c>
      <c r="G287" s="64" t="s">
        <v>94</v>
      </c>
      <c r="H287" s="146" t="str" cm="1">
        <f t="array" ref="H287">IFERROR((SUMIFS(TME[[#All],[Claims: Professional, Specialty Providers]],TME[[#All],[Reporting Year]],2020,TME[[#All],[Insurance Category Code]],1))/ICC1_MemberMonths_2020,"NA")</f>
        <v>NA</v>
      </c>
      <c r="I287" s="146" t="str" cm="1">
        <f t="array" ref="I287">IFERROR((SUMIFS(TME[[#All],[Claims: Professional, Specialty Providers]],TME[[#All],[Reporting Year]],2021,TME[[#All],[Insurance Category Code]],1))/ICC1_MemberMonths_2021,"NA")</f>
        <v>NA</v>
      </c>
      <c r="J287" s="143" t="str">
        <f>IFERROR(Table911142537[[#This Row],[2021]]/Table911142537[[#This Row],[2020]]-1,"NA")</f>
        <v>NA</v>
      </c>
      <c r="L287" s="64" t="s">
        <v>94</v>
      </c>
      <c r="M287" s="146" t="str" cm="1">
        <f t="array" ref="M287">IFERROR((SUMIFS(TME[[#All],[Claims: Professional, Specialty Providers]],TME[[#All],[Reporting Year]],2020,TME[[#All],[Insurance Category Code]],5))/ICC5_MemberMonths_2020,"NA")</f>
        <v>NA</v>
      </c>
      <c r="N287" s="146" t="str" cm="1">
        <f t="array" ref="N287">IFERROR((SUMIFS(TME[[#All],[Claims: Professional, Specialty Providers]],TME[[#All],[Reporting Year]],2021,TME[[#All],[Insurance Category Code]],5))/ICC5_MemberMonths_2021,"NA")</f>
        <v>NA</v>
      </c>
      <c r="O287" s="143" t="str">
        <f>IFERROR(Table91112152638[[#This Row],[2021]]/Table91112152638[[#This Row],[2020]]-1,"NA")</f>
        <v>NA</v>
      </c>
    </row>
    <row r="288" spans="2:15" x14ac:dyDescent="0.35">
      <c r="B288" s="64" t="s">
        <v>95</v>
      </c>
      <c r="C288" s="146" t="str">
        <f t="shared" si="10"/>
        <v>NA</v>
      </c>
      <c r="D288" s="146" t="str">
        <f t="shared" si="11"/>
        <v>NA</v>
      </c>
      <c r="E288" s="143" t="str">
        <f>IFERROR(Table9132436[[#This Row],[2021]]/Table9132436[[#This Row],[2020]]-1,"NA")</f>
        <v>NA</v>
      </c>
      <c r="G288" s="64" t="s">
        <v>95</v>
      </c>
      <c r="H288" s="146" t="str" cm="1">
        <f t="array" ref="H288">IFERROR((SUMIFS(TME[[#All],[Claims: Professional, Other Providers]],TME[[#All],[Reporting Year]],2020,TME[[#All],[Insurance Category Code]],1))/ICC1_MemberMonths_2020,"NA")</f>
        <v>NA</v>
      </c>
      <c r="I288" s="146" t="str" cm="1">
        <f t="array" ref="I288">IFERROR((SUMIFS(TME[[#All],[Claims: Professional, Other Providers]],TME[[#All],[Reporting Year]],2021,TME[[#All],[Insurance Category Code]],1))/ICC1_MemberMonths_2021,"NA")</f>
        <v>NA</v>
      </c>
      <c r="J288" s="143" t="str">
        <f>IFERROR(Table911142537[[#This Row],[2021]]/Table911142537[[#This Row],[2020]]-1,"NA")</f>
        <v>NA</v>
      </c>
      <c r="L288" s="64" t="s">
        <v>95</v>
      </c>
      <c r="M288" s="146" t="str" cm="1">
        <f t="array" ref="M288">IFERROR((SUMIFS(TME[[#All],[Claims: Professional, Other Providers]],TME[[#All],[Reporting Year]],2020,TME[[#All],[Insurance Category Code]],5))/ICC5_MemberMonths_2020,"NA")</f>
        <v>NA</v>
      </c>
      <c r="N288" s="146" t="str" cm="1">
        <f t="array" ref="N288">IFERROR((SUMIFS(TME[[#All],[Claims: Professional, Other Providers]],TME[[#All],[Reporting Year]],2021,TME[[#All],[Insurance Category Code]],5))/ICC5_MemberMonths_2021,"NA")</f>
        <v>NA</v>
      </c>
      <c r="O288" s="143" t="str">
        <f>IFERROR(Table91112152638[[#This Row],[2021]]/Table91112152638[[#This Row],[2020]]-1,"NA")</f>
        <v>NA</v>
      </c>
    </row>
    <row r="289" spans="2:15" x14ac:dyDescent="0.35">
      <c r="B289" s="64" t="s">
        <v>96</v>
      </c>
      <c r="C289" s="146" t="str">
        <f t="shared" si="10"/>
        <v>NA</v>
      </c>
      <c r="D289" s="146" t="str">
        <f t="shared" si="11"/>
        <v>NA</v>
      </c>
      <c r="E289" s="143" t="str">
        <f>IFERROR(Table9132436[[#This Row],[2021]]/Table9132436[[#This Row],[2020]]-1,"NA")</f>
        <v>NA</v>
      </c>
      <c r="G289" s="64" t="s">
        <v>96</v>
      </c>
      <c r="H289" s="146" t="str" cm="1">
        <f t="array" ref="H289">IFERROR((SUMIFS(TME[[#All],[Claims: Long-Term Care]],TME[[#All],[Reporting Year]],2020,TME[[#All],[Insurance Category Code]],1))/ICC1_MemberMonths_2020,"NA")</f>
        <v>NA</v>
      </c>
      <c r="I289" s="146" t="str" cm="1">
        <f t="array" ref="I289">IFERROR((SUMIFS(TME[[#All],[Claims: Long-Term Care]],TME[[#All],[Reporting Year]],2021,TME[[#All],[Insurance Category Code]],1))/ICC1_MemberMonths_2021,"NA")</f>
        <v>NA</v>
      </c>
      <c r="J289" s="143" t="str">
        <f>IFERROR(Table911142537[[#This Row],[2021]]/Table911142537[[#This Row],[2020]]-1,"NA")</f>
        <v>NA</v>
      </c>
      <c r="L289" s="64" t="s">
        <v>96</v>
      </c>
      <c r="M289" s="146" t="str" cm="1">
        <f t="array" ref="M289">IFERROR((SUMIFS(TME[[#All],[Claims: Long-Term Care]],TME[[#All],[Reporting Year]],2020,TME[[#All],[Insurance Category Code]],5))/ICC5_MemberMonths_2020,"NA")</f>
        <v>NA</v>
      </c>
      <c r="N289" s="146" t="str" cm="1">
        <f t="array" ref="N289">IFERROR((SUMIFS(TME[[#All],[Claims: Long-Term Care]],TME[[#All],[Reporting Year]],2021,TME[[#All],[Insurance Category Code]],5))/ICC5_MemberMonths_2021,"NA")</f>
        <v>NA</v>
      </c>
      <c r="O289" s="143" t="str">
        <f>IFERROR(Table91112152638[[#This Row],[2021]]/Table91112152638[[#This Row],[2020]]-1,"NA")</f>
        <v>NA</v>
      </c>
    </row>
    <row r="290" spans="2:15" x14ac:dyDescent="0.35">
      <c r="B290" s="64" t="s">
        <v>229</v>
      </c>
      <c r="C290" s="146" t="str">
        <f t="shared" si="10"/>
        <v>NA</v>
      </c>
      <c r="D290" s="146" t="str">
        <f t="shared" si="11"/>
        <v>NA</v>
      </c>
      <c r="E290" s="143" t="str">
        <f>IFERROR(Table9132436[[#This Row],[2021]]/Table9132436[[#This Row],[2020]]-1,"NA")</f>
        <v>NA</v>
      </c>
      <c r="G290" s="64" t="s">
        <v>229</v>
      </c>
      <c r="H290" s="146" t="str" cm="1">
        <f t="array" ref="H290">IFERROR((SUMIFS(TME[[#All],[Claims: Retail Pharmacy]],TME[[#All],[Reporting Year]],2020,TME[[#All],[Insurance Category Code]],1))/ICC1_MemberMonths_2020,"NA")</f>
        <v>NA</v>
      </c>
      <c r="I290" s="146" t="str" cm="1">
        <f t="array" ref="I290">IFERROR((SUMIFS(TME[[#All],[Claims: Retail Pharmacy]],TME[[#All],[Reporting Year]],2021,TME[[#All],[Insurance Category Code]],1))/ICC1_MemberMonths_2021,"NA")</f>
        <v>NA</v>
      </c>
      <c r="J290" s="143" t="str">
        <f>IFERROR(Table911142537[[#This Row],[2021]]/Table911142537[[#This Row],[2020]]-1,"NA")</f>
        <v>NA</v>
      </c>
      <c r="L290" s="64" t="s">
        <v>229</v>
      </c>
      <c r="M290" s="146" t="str" cm="1">
        <f t="array" ref="M290">IFERROR((SUMIFS(TME[[#All],[Claims: Retail Pharmacy]],TME[[#All],[Reporting Year]],2020,TME[[#All],[Insurance Category Code]],5))/ICC5_MemberMonths_2020,"NA")</f>
        <v>NA</v>
      </c>
      <c r="N290" s="146" t="str" cm="1">
        <f t="array" ref="N290">IFERROR((SUMIFS(TME[[#All],[Claims: Retail Pharmacy]],TME[[#All],[Reporting Year]],2021,TME[[#All],[Insurance Category Code]],5))/ICC5_MemberMonths_2021,"NA")</f>
        <v>NA</v>
      </c>
      <c r="O290" s="143" t="str">
        <f>IFERROR(Table91112152638[[#This Row],[2021]]/Table91112152638[[#This Row],[2020]]-1,"NA")</f>
        <v>NA</v>
      </c>
    </row>
    <row r="291" spans="2:15" x14ac:dyDescent="0.35">
      <c r="B291" s="82" t="s">
        <v>230</v>
      </c>
      <c r="C291" s="146" t="str">
        <f t="shared" si="10"/>
        <v>NA</v>
      </c>
      <c r="D291" s="146" t="str">
        <f t="shared" si="11"/>
        <v>NA</v>
      </c>
      <c r="E291" s="143" t="str">
        <f>IFERROR(Table9132436[[#This Row],[2021]]/Table9132436[[#This Row],[2020]]-1,"NA")</f>
        <v>NA</v>
      </c>
      <c r="G291" s="82" t="s">
        <v>230</v>
      </c>
      <c r="H291" s="146" t="str" cm="1">
        <f t="array" ref="H291">IFERROR((SUMIFS(TME[[#All],[Claims: Retail Pharmacy]],TME[[#All],[Reporting Year]],2020,TME[[#All],[Insurance Category Code]],1))-ABS(SUMIFS(RX_REBATE[[#All],[Total Pharmacy Rebate Amount]],RX_REBATE[[#All],[Reporting Year]],2020,RX_REBATE[[#All],[Insurance Category Code]],1))/ICC1_MemberMonths_2020,"NA")</f>
        <v>NA</v>
      </c>
      <c r="I291" s="146" t="str" cm="1">
        <f t="array" ref="I291">IFERROR((SUMIFS(TME[[#All],[Claims: Retail Pharmacy]],TME[[#All],[Reporting Year]],2021,TME[[#All],[Insurance Category Code]],1))-ABS(SUMIFS(RX_REBATE[[#All],[Total Pharmacy Rebate Amount]],RX_REBATE[[#All],[Reporting Year]],2021,RX_REBATE[[#All],[Insurance Category Code]],1))/ICC1_MemberMonths_2021,"NA")</f>
        <v>NA</v>
      </c>
      <c r="J291" s="143" t="str">
        <f>IFERROR(Table911142537[[#This Row],[2021]]/Table911142537[[#This Row],[2020]]-1,"NA")</f>
        <v>NA</v>
      </c>
      <c r="L291" s="82" t="s">
        <v>230</v>
      </c>
      <c r="M291" s="146" t="str" cm="1">
        <f t="array" ref="M291">IFERROR((SUMIFS(TME[[#All],[Claims: Retail Pharmacy]],TME[[#All],[Reporting Year]],2020,TME[[#All],[Insurance Category Code]],5))-ABS(SUMIFS(RX_REBATE[[#All],[Total Pharmacy Rebate Amount]],RX_REBATE[[#All],[Reporting Year]],2020,RX_REBATE[[#All],[Insurance Category Code]],5))/ICC5_MemberMonths_2020,"NA")</f>
        <v>NA</v>
      </c>
      <c r="N291" s="146" t="str" cm="1">
        <f t="array" ref="N291">IFERROR((SUMIFS(TME[[#All],[Claims: Retail Pharmacy]],TME[[#All],[Reporting Year]],2021,TME[[#All],[Insurance Category Code]],5))-ABS(SUMIFS(RX_REBATE[[#All],[Total Pharmacy Rebate Amount]],RX_REBATE[[#All],[Reporting Year]],2021,RX_REBATE[[#All],[Insurance Category Code]],5))/ICC5_MemberMonths_2021,"NA")</f>
        <v>NA</v>
      </c>
      <c r="O291" s="143" t="str">
        <f>IFERROR(Table91112152638[[#This Row],[2021]]/Table91112152638[[#This Row],[2020]]-1,"NA")</f>
        <v>NA</v>
      </c>
    </row>
    <row r="292" spans="2:15" x14ac:dyDescent="0.35">
      <c r="B292" s="82" t="s">
        <v>231</v>
      </c>
      <c r="C292" s="146" t="str">
        <f t="shared" si="10"/>
        <v>NA</v>
      </c>
      <c r="D292" s="146" t="str">
        <f t="shared" si="11"/>
        <v>NA</v>
      </c>
      <c r="E292" s="143" t="str">
        <f>IFERROR(Table9132436[[#This Row],[2021]]/Table9132436[[#This Row],[2020]]-1,"NA")</f>
        <v>NA</v>
      </c>
      <c r="G292" s="82" t="s">
        <v>231</v>
      </c>
      <c r="H292" s="146" t="str" cm="1">
        <f t="array" ref="H292">IFERROR(-ABS(SUMIFS(RX_REBATE[[#All],[Total Pharmacy Rebate Amount]],RX_REBATE[[#All],[Reporting Year]],2020,RX_REBATE[[#All],[Insurance Category Code]],1))/ICC1_MemberMonths_2020,"NA")</f>
        <v>NA</v>
      </c>
      <c r="I292" s="146" t="str" cm="1">
        <f t="array" ref="I292">IFERROR(-ABS(SUMIFS(RX_REBATE[[#All],[Total Pharmacy Rebate Amount]],RX_REBATE[[#All],[Reporting Year]],2021,RX_REBATE[[#All],[Insurance Category Code]],1))/ICC1_MemberMonths_2021,"NA")</f>
        <v>NA</v>
      </c>
      <c r="J292" s="143" t="str">
        <f>IFERROR(Table911142537[[#This Row],[2021]]/Table911142537[[#This Row],[2020]]-1,"NA")</f>
        <v>NA</v>
      </c>
      <c r="L292" s="82" t="s">
        <v>231</v>
      </c>
      <c r="M292" s="146" t="str" cm="1">
        <f t="array" ref="M292">IFERROR(-ABS(SUMIFS(RX_REBATE[[#All],[Total Pharmacy Rebate Amount]],RX_REBATE[[#All],[Reporting Year]],2020,RX_REBATE[[#All],[Insurance Category Code]],5))/ICC5_MemberMonths_2020,"NA")</f>
        <v>NA</v>
      </c>
      <c r="N292" s="146" t="str" cm="1">
        <f t="array" ref="N292">IFERROR(-ABS(SUMIFS(RX_REBATE[[#All],[Total Pharmacy Rebate Amount]],RX_REBATE[[#All],[Reporting Year]],2021,RX_REBATE[[#All],[Insurance Category Code]],5))/ICC5_MemberMonths_2021,"NA")</f>
        <v>NA</v>
      </c>
      <c r="O292" s="143" t="str">
        <f>IFERROR(Table91112152638[[#This Row],[2021]]/Table91112152638[[#This Row],[2020]]-1,"NA")</f>
        <v>NA</v>
      </c>
    </row>
    <row r="293" spans="2:15" x14ac:dyDescent="0.35">
      <c r="B293" s="64" t="s">
        <v>98</v>
      </c>
      <c r="C293" s="146" t="str">
        <f t="shared" si="10"/>
        <v>NA</v>
      </c>
      <c r="D293" s="146" t="str">
        <f t="shared" si="11"/>
        <v>NA</v>
      </c>
      <c r="E293" s="143" t="str">
        <f>IFERROR(Table9132436[[#This Row],[2021]]/Table9132436[[#This Row],[2020]]-1,"NA")</f>
        <v>NA</v>
      </c>
      <c r="G293" s="64" t="s">
        <v>98</v>
      </c>
      <c r="H293" s="146" t="str" cm="1">
        <f t="array" ref="H293">IFERROR((SUMIFS(TME[[#All],[Claims: Other]],TME[[#All],[Reporting Year]],2020,TME[[#All],[Insurance Category Code]],1))/ICC1_MemberMonths_2020,"NA")</f>
        <v>NA</v>
      </c>
      <c r="I293" s="146" t="str" cm="1">
        <f t="array" ref="I293">IFERROR((SUMIFS(TME[[#All],[Claims: Other]],TME[[#All],[Reporting Year]],2021,TME[[#All],[Insurance Category Code]],1))/ICC1_MemberMonths_2021,"NA")</f>
        <v>NA</v>
      </c>
      <c r="J293" s="143" t="str">
        <f>IFERROR(Table911142537[[#This Row],[2021]]/Table911142537[[#This Row],[2020]]-1,"NA")</f>
        <v>NA</v>
      </c>
      <c r="L293" s="64" t="s">
        <v>98</v>
      </c>
      <c r="M293" s="146" t="str" cm="1">
        <f t="array" ref="M293">IFERROR((SUMIFS(TME[[#All],[Claims: Other]],TME[[#All],[Reporting Year]],2020,TME[[#All],[Insurance Category Code]],5))/ICC5_MemberMonths_2020,"NA")</f>
        <v>NA</v>
      </c>
      <c r="N293" s="146" t="str" cm="1">
        <f t="array" ref="N293">IFERROR((SUMIFS(TME[[#All],[Claims: Other]],TME[[#All],[Reporting Year]],2021,TME[[#All],[Insurance Category Code]],5))/ICC5_MemberMonths_2021,"NA")</f>
        <v>NA</v>
      </c>
      <c r="O293" s="143" t="str">
        <f>IFERROR(Table91112152638[[#This Row],[2021]]/Table91112152638[[#This Row],[2020]]-1,"NA")</f>
        <v>NA</v>
      </c>
    </row>
    <row r="294" spans="2:15" x14ac:dyDescent="0.35">
      <c r="B294" s="83" t="s">
        <v>204</v>
      </c>
      <c r="C294" s="147" t="str">
        <f t="shared" si="10"/>
        <v>NA</v>
      </c>
      <c r="D294" s="147" t="str">
        <f t="shared" si="11"/>
        <v>NA</v>
      </c>
      <c r="E294" s="144" t="str">
        <f>IFERROR(Table9132436[[#This Row],[2021]]/Table9132436[[#This Row],[2020]]-1,"NA")</f>
        <v>NA</v>
      </c>
      <c r="G294" s="83" t="s">
        <v>204</v>
      </c>
      <c r="H294" s="147" t="str" cm="1">
        <f t="array" ref="H294">IFERROR((SUMIFS(TME[[#All],[Total Non-Truncated Claims Spending]],TME[[#All],[Reporting Year]],2020,TME[[#All],[Insurance Category Code]],1))/ICC1_MemberMonths_2020,"NA")</f>
        <v>NA</v>
      </c>
      <c r="I294" s="147" t="str" cm="1">
        <f t="array" ref="I294">IFERROR((SUMIFS(TME[[#All],[Total Non-Truncated Claims Spending]],TME[[#All],[Reporting Year]],2021,TME[[#All],[Insurance Category Code]],1))/ICC1_MemberMonths_2021,"NA")</f>
        <v>NA</v>
      </c>
      <c r="J294" s="144" t="str">
        <f>IFERROR(Table911142537[[#This Row],[2021]]/Table911142537[[#This Row],[2020]]-1,"NA")</f>
        <v>NA</v>
      </c>
      <c r="L294" s="83" t="s">
        <v>204</v>
      </c>
      <c r="M294" s="147" t="str" cm="1">
        <f t="array" ref="M294">IFERROR((SUMIFS(TME[[#All],[Total Non-Truncated Claims Spending]],TME[[#All],[Reporting Year]],2020,TME[[#All],[Insurance Category Code]],5))/ICC5_MemberMonths_2020,"NA")</f>
        <v>NA</v>
      </c>
      <c r="N294" s="147" t="str" cm="1">
        <f t="array" ref="N294">IFERROR((SUMIFS(TME[[#All],[Total Non-Truncated Claims Spending]],TME[[#All],[Reporting Year]],2021,TME[[#All],[Insurance Category Code]],5))/ICC5_MemberMonths_2021,"NA")</f>
        <v>NA</v>
      </c>
      <c r="O294" s="144" t="str">
        <f>IFERROR(Table91112152638[[#This Row],[2021]]/Table91112152638[[#This Row],[2020]]-1,"NA")</f>
        <v>NA</v>
      </c>
    </row>
    <row r="295" spans="2:15" x14ac:dyDescent="0.35">
      <c r="B295" s="83" t="s">
        <v>205</v>
      </c>
      <c r="C295" s="147" t="str">
        <f t="shared" si="10"/>
        <v>NA</v>
      </c>
      <c r="D295" s="147" t="str">
        <f t="shared" si="11"/>
        <v>NA</v>
      </c>
      <c r="E295" s="144" t="str">
        <f>IFERROR(Table9132436[[#This Row],[2021]]/Table9132436[[#This Row],[2020]]-1,"NA")</f>
        <v>NA</v>
      </c>
      <c r="G295" s="83" t="s">
        <v>205</v>
      </c>
      <c r="H295" s="147" t="str" cm="1">
        <f t="array" ref="H295">IFERROR((SUMIFS(TME[[#All],[Total Truncated Claims Spending]],TME[[#All],[Reporting Year]],2020,TME[[#All],[Insurance Category Code]],1))/ICC1_MemberMonths_2020,"NA")</f>
        <v>NA</v>
      </c>
      <c r="I295" s="147" t="str" cm="1">
        <f t="array" ref="I295">IFERROR((SUMIFS(TME[[#All],[Total Truncated Claims Spending]],TME[[#All],[Reporting Year]],2021,TME[[#All],[Insurance Category Code]],1))/ICC1_MemberMonths_2021,"NA")</f>
        <v>NA</v>
      </c>
      <c r="J295" s="144" t="str">
        <f>IFERROR(Table911142537[[#This Row],[2021]]/Table911142537[[#This Row],[2020]]-1,"NA")</f>
        <v>NA</v>
      </c>
      <c r="L295" s="83" t="s">
        <v>205</v>
      </c>
      <c r="M295" s="147" t="str" cm="1">
        <f t="array" ref="M295">IFERROR((SUMIFS(TME[[#All],[Total Truncated Claims Spending]],TME[[#All],[Reporting Year]],2020,TME[[#All],[Insurance Category Code]],5))/ICC5_MemberMonths_2020,"NA")</f>
        <v>NA</v>
      </c>
      <c r="N295" s="147" t="str" cm="1">
        <f t="array" ref="N295">IFERROR((SUMIFS(TME[[#All],[Total Truncated Claims Spending]],TME[[#All],[Reporting Year]],2021,TME[[#All],[Insurance Category Code]],5))/ICC5_MemberMonths_2021,"NA")</f>
        <v>NA</v>
      </c>
      <c r="O295" s="144" t="str">
        <f>IFERROR(Table91112152638[[#This Row],[2021]]/Table91112152638[[#This Row],[2020]]-1,"NA")</f>
        <v>NA</v>
      </c>
    </row>
    <row r="296" spans="2:15" x14ac:dyDescent="0.35">
      <c r="B296" s="64" t="s">
        <v>99</v>
      </c>
      <c r="C296" s="146" t="str">
        <f t="shared" si="10"/>
        <v>NA</v>
      </c>
      <c r="D296" s="146" t="str">
        <f t="shared" si="11"/>
        <v>NA</v>
      </c>
      <c r="E296" s="143" t="str">
        <f>IFERROR(Table9132436[[#This Row],[2021]]/Table9132436[[#This Row],[2020]]-1,"NA")</f>
        <v>NA</v>
      </c>
      <c r="G296" s="64" t="s">
        <v>99</v>
      </c>
      <c r="H296" s="146" t="str" cm="1">
        <f t="array" ref="H296">IFERROR((SUMIFS(TME[[#All],[Non-Claims: Capitation or Bundled Pmts]],TME[[#All],[Reporting Year]],2020,TME[[#All],[Insurance Category Code]],1))/ICC1_MemberMonths_2020,"NA")</f>
        <v>NA</v>
      </c>
      <c r="I296" s="146" t="str" cm="1">
        <f t="array" ref="I296">IFERROR((SUMIFS(TME[[#All],[Non-Claims: Capitation or Bundled Pmts]],TME[[#All],[Reporting Year]],2021,TME[[#All],[Insurance Category Code]],1))/ICC1_MemberMonths_2021,"NA")</f>
        <v>NA</v>
      </c>
      <c r="J296" s="143" t="str">
        <f>IFERROR(Table911142537[[#This Row],[2021]]/Table911142537[[#This Row],[2020]]-1,"NA")</f>
        <v>NA</v>
      </c>
      <c r="L296" s="64" t="s">
        <v>99</v>
      </c>
      <c r="M296" s="146" t="str" cm="1">
        <f t="array" ref="M296">IFERROR((SUMIFS(TME[[#All],[Non-Claims: Capitation or Bundled Pmts]],TME[[#All],[Reporting Year]],2020,TME[[#All],[Insurance Category Code]],5))/ICC5_MemberMonths_2020,"NA")</f>
        <v>NA</v>
      </c>
      <c r="N296" s="146" t="str" cm="1">
        <f t="array" ref="N296">IFERROR((SUMIFS(TME[[#All],[Non-Claims: Capitation or Bundled Pmts]],TME[[#All],[Reporting Year]],2021,TME[[#All],[Insurance Category Code]],5))/ICC5_MemberMonths_2021,"NA")</f>
        <v>NA</v>
      </c>
      <c r="O296" s="143" t="str">
        <f>IFERROR(Table91112152638[[#This Row],[2021]]/Table91112152638[[#This Row],[2020]]-1,"NA")</f>
        <v>NA</v>
      </c>
    </row>
    <row r="297" spans="2:15" x14ac:dyDescent="0.35">
      <c r="B297" s="64" t="s">
        <v>100</v>
      </c>
      <c r="C297" s="146" t="str">
        <f t="shared" si="10"/>
        <v>NA</v>
      </c>
      <c r="D297" s="146" t="str">
        <f t="shared" si="11"/>
        <v>NA</v>
      </c>
      <c r="E297" s="143" t="str">
        <f>IFERROR(Table9132436[[#This Row],[2021]]/Table9132436[[#This Row],[2020]]-1,"NA")</f>
        <v>NA</v>
      </c>
      <c r="G297" s="64" t="s">
        <v>100</v>
      </c>
      <c r="H297" s="146" t="str" cm="1">
        <f t="array" ref="H297">IFERROR((SUMIFS(TME[[#All],[Non-Claims: Performance Incentive Pmts]],TME[[#All],[Reporting Year]],2020,TME[[#All],[Insurance Category Code]],1))/ICC1_MemberMonths_2020,"NA")</f>
        <v>NA</v>
      </c>
      <c r="I297" s="146" t="str" cm="1">
        <f t="array" ref="I297">IFERROR((SUMIFS(TME[[#All],[Non-Claims: Performance Incentive Pmts]],TME[[#All],[Reporting Year]],2021,TME[[#All],[Insurance Category Code]],1))/ICC1_MemberMonths_2021,"NA")</f>
        <v>NA</v>
      </c>
      <c r="J297" s="143" t="str">
        <f>IFERROR(Table911142537[[#This Row],[2021]]/Table911142537[[#This Row],[2020]]-1,"NA")</f>
        <v>NA</v>
      </c>
      <c r="L297" s="64" t="s">
        <v>100</v>
      </c>
      <c r="M297" s="146" t="str" cm="1">
        <f t="array" ref="M297">IFERROR((SUMIFS(TME[[#All],[Non-Claims: Performance Incentive Pmts]],TME[[#All],[Reporting Year]],2020,TME[[#All],[Insurance Category Code]],5))/ICC5_MemberMonths_2020,"NA")</f>
        <v>NA</v>
      </c>
      <c r="N297" s="146" t="str" cm="1">
        <f t="array" ref="N297">IFERROR((SUMIFS(TME[[#All],[Non-Claims: Performance Incentive Pmts]],TME[[#All],[Reporting Year]],2021,TME[[#All],[Insurance Category Code]],5))/ICC5_MemberMonths_2021,"NA")</f>
        <v>NA</v>
      </c>
      <c r="O297" s="143" t="str">
        <f>IFERROR(Table91112152638[[#This Row],[2021]]/Table91112152638[[#This Row],[2020]]-1,"NA")</f>
        <v>NA</v>
      </c>
    </row>
    <row r="298" spans="2:15" x14ac:dyDescent="0.35">
      <c r="B298" s="64" t="s">
        <v>101</v>
      </c>
      <c r="C298" s="146" t="str">
        <f t="shared" si="10"/>
        <v>NA</v>
      </c>
      <c r="D298" s="146" t="str">
        <f t="shared" si="11"/>
        <v>NA</v>
      </c>
      <c r="E298" s="143" t="str">
        <f>IFERROR(Table9132436[[#This Row],[2021]]/Table9132436[[#This Row],[2020]]-1,"NA")</f>
        <v>NA</v>
      </c>
      <c r="G298" s="64" t="s">
        <v>101</v>
      </c>
      <c r="H298" s="146" t="str" cm="1">
        <f t="array" ref="H298">IFERROR((SUMIFS(TME[[#All],[Non-Claims: Pop Health and Practice Infrastructure Pmts]],TME[[#All],[Reporting Year]],2020,TME[[#All],[Insurance Category Code]],1))/ICC1_MemberMonths_2020,"NA")</f>
        <v>NA</v>
      </c>
      <c r="I298" s="146" t="str" cm="1">
        <f t="array" ref="I298">IFERROR((SUMIFS(TME[[#All],[Non-Claims: Pop Health and Practice Infrastructure Pmts]],TME[[#All],[Reporting Year]],2021,TME[[#All],[Insurance Category Code]],1))/ICC1_MemberMonths_2021,"NA")</f>
        <v>NA</v>
      </c>
      <c r="J298" s="143" t="str">
        <f>IFERROR(Table911142537[[#This Row],[2021]]/Table911142537[[#This Row],[2020]]-1,"NA")</f>
        <v>NA</v>
      </c>
      <c r="L298" s="64" t="s">
        <v>101</v>
      </c>
      <c r="M298" s="146" t="str" cm="1">
        <f t="array" ref="M298">IFERROR((SUMIFS(TME[[#All],[Non-Claims: Pop Health and Practice Infrastructure Pmts]],TME[[#All],[Reporting Year]],2020,TME[[#All],[Insurance Category Code]],5))/ICC5_MemberMonths_2020,"NA")</f>
        <v>NA</v>
      </c>
      <c r="N298" s="146" t="str" cm="1">
        <f t="array" ref="N298">IFERROR((SUMIFS(TME[[#All],[Non-Claims: Pop Health and Practice Infrastructure Pmts]],TME[[#All],[Reporting Year]],2021,TME[[#All],[Insurance Category Code]],5))/ICC5_MemberMonths_2021,"NA")</f>
        <v>NA</v>
      </c>
      <c r="O298" s="143" t="str">
        <f>IFERROR(Table91112152638[[#This Row],[2021]]/Table91112152638[[#This Row],[2020]]-1,"NA")</f>
        <v>NA</v>
      </c>
    </row>
    <row r="299" spans="2:15" x14ac:dyDescent="0.35">
      <c r="B299" s="64" t="s">
        <v>102</v>
      </c>
      <c r="C299" s="146" t="str">
        <f t="shared" si="10"/>
        <v>NA</v>
      </c>
      <c r="D299" s="146" t="str">
        <f t="shared" si="11"/>
        <v>NA</v>
      </c>
      <c r="E299" s="143" t="str">
        <f>IFERROR(Table9132436[[#This Row],[2021]]/Table9132436[[#This Row],[2020]]-1,"NA")</f>
        <v>NA</v>
      </c>
      <c r="G299" s="64" t="s">
        <v>102</v>
      </c>
      <c r="H299" s="146" t="str" cm="1">
        <f t="array" ref="H299">IFERROR((SUMIFS(TME[[#All],[Non-Claims: Provider Salaries]],TME[[#All],[Reporting Year]],2020,TME[[#All],[Insurance Category Code]],1))/ICC1_MemberMonths_2020,"NA")</f>
        <v>NA</v>
      </c>
      <c r="I299" s="146" t="str" cm="1">
        <f t="array" ref="I299">IFERROR((SUMIFS(TME[[#All],[Non-Claims: Provider Salaries]],TME[[#All],[Reporting Year]],2021,TME[[#All],[Insurance Category Code]],1))/ICC1_MemberMonths_2021,"NA")</f>
        <v>NA</v>
      </c>
      <c r="J299" s="143" t="str">
        <f>IFERROR(Table911142537[[#This Row],[2021]]/Table911142537[[#This Row],[2020]]-1,"NA")</f>
        <v>NA</v>
      </c>
      <c r="L299" s="64" t="s">
        <v>102</v>
      </c>
      <c r="M299" s="146" t="str" cm="1">
        <f t="array" ref="M299">IFERROR((SUMIFS(TME[[#All],[Non-Claims: Provider Salaries]],TME[[#All],[Reporting Year]],2020,TME[[#All],[Insurance Category Code]],5))/ICC5_MemberMonths_2020,"NA")</f>
        <v>NA</v>
      </c>
      <c r="N299" s="146" t="str" cm="1">
        <f t="array" ref="N299">IFERROR((SUMIFS(TME[[#All],[Non-Claims: Provider Salaries]],TME[[#All],[Reporting Year]],2021,TME[[#All],[Insurance Category Code]],5))/ICC5_MemberMonths_2021,"NA")</f>
        <v>NA</v>
      </c>
      <c r="O299" s="143" t="str">
        <f>IFERROR(Table91112152638[[#This Row],[2021]]/Table91112152638[[#This Row],[2020]]-1,"NA")</f>
        <v>NA</v>
      </c>
    </row>
    <row r="300" spans="2:15" x14ac:dyDescent="0.35">
      <c r="B300" s="64" t="s">
        <v>103</v>
      </c>
      <c r="C300" s="146" t="str">
        <f t="shared" si="10"/>
        <v>NA</v>
      </c>
      <c r="D300" s="146" t="str">
        <f t="shared" si="11"/>
        <v>NA</v>
      </c>
      <c r="E300" s="143" t="str">
        <f>IFERROR(Table9132436[[#This Row],[2021]]/Table9132436[[#This Row],[2020]]-1,"NA")</f>
        <v>NA</v>
      </c>
      <c r="G300" s="64" t="s">
        <v>103</v>
      </c>
      <c r="H300" s="146" t="str" cm="1">
        <f t="array" ref="H300">IFERROR((SUMIFS(TME[[#All],[Non-Claims: Recovery]],TME[[#All],[Reporting Year]],2020,TME[[#All],[Insurance Category Code]],1))/ICC1_MemberMonths_2020,"NA")</f>
        <v>NA</v>
      </c>
      <c r="I300" s="146" t="str" cm="1">
        <f t="array" ref="I300">IFERROR((SUMIFS(TME[[#All],[Non-Claims: Recovery]],TME[[#All],[Reporting Year]],2021,TME[[#All],[Insurance Category Code]],1))/ICC1_MemberMonths_2021,"NA")</f>
        <v>NA</v>
      </c>
      <c r="J300" s="143" t="str">
        <f>IFERROR(Table911142537[[#This Row],[2021]]/Table911142537[[#This Row],[2020]]-1,"NA")</f>
        <v>NA</v>
      </c>
      <c r="L300" s="64" t="s">
        <v>103</v>
      </c>
      <c r="M300" s="146" t="str" cm="1">
        <f t="array" ref="M300">IFERROR((SUMIFS(TME[[#All],[Non-Claims: Recovery]],TME[[#All],[Reporting Year]],2020,TME[[#All],[Insurance Category Code]],5))/ICC5_MemberMonths_2020,"NA")</f>
        <v>NA</v>
      </c>
      <c r="N300" s="146" t="str" cm="1">
        <f t="array" ref="N300">IFERROR((SUMIFS(TME[[#All],[Non-Claims: Recovery]],TME[[#All],[Reporting Year]],2021,TME[[#All],[Insurance Category Code]],5))/ICC5_MemberMonths_2021,"NA")</f>
        <v>NA</v>
      </c>
      <c r="O300" s="143" t="str">
        <f>IFERROR(Table91112152638[[#This Row],[2021]]/Table91112152638[[#This Row],[2020]]-1,"NA")</f>
        <v>NA</v>
      </c>
    </row>
    <row r="301" spans="2:15" x14ac:dyDescent="0.35">
      <c r="B301" s="64" t="s">
        <v>104</v>
      </c>
      <c r="C301" s="146" t="str">
        <f t="shared" si="10"/>
        <v>NA</v>
      </c>
      <c r="D301" s="146" t="str">
        <f t="shared" si="11"/>
        <v>NA</v>
      </c>
      <c r="E301" s="143" t="str">
        <f>IFERROR(Table9132436[[#This Row],[2021]]/Table9132436[[#This Row],[2020]]-1,"NA")</f>
        <v>NA</v>
      </c>
      <c r="G301" s="64" t="s">
        <v>104</v>
      </c>
      <c r="H301" s="146" t="str" cm="1">
        <f t="array" ref="H301">IFERROR((SUMIFS(TME[[#All],[Non-Claims: Other]],TME[[#All],[Reporting Year]],2020,TME[[#All],[Insurance Category Code]],1))/ICC1_MemberMonths_2020,"NA")</f>
        <v>NA</v>
      </c>
      <c r="I301" s="146" t="str" cm="1">
        <f t="array" ref="I301">IFERROR((SUMIFS(TME[[#All],[Non-Claims: Other]],TME[[#All],[Reporting Year]],2021,TME[[#All],[Insurance Category Code]],1))/ICC1_MemberMonths_2021,"NA")</f>
        <v>NA</v>
      </c>
      <c r="J301" s="143" t="str">
        <f>IFERROR(Table911142537[[#This Row],[2021]]/Table911142537[[#This Row],[2020]]-1,"NA")</f>
        <v>NA</v>
      </c>
      <c r="L301" s="64" t="s">
        <v>104</v>
      </c>
      <c r="M301" s="146" t="str" cm="1">
        <f t="array" ref="M301">IFERROR((SUMIFS(TME[[#All],[Non-Claims: Other]],TME[[#All],[Reporting Year]],2020,TME[[#All],[Insurance Category Code]],5))/ICC5_MemberMonths_2020,"NA")</f>
        <v>NA</v>
      </c>
      <c r="N301" s="146" t="str" cm="1">
        <f t="array" ref="N301">IFERROR((SUMIFS(TME[[#All],[Non-Claims: Other]],TME[[#All],[Reporting Year]],2021,TME[[#All],[Insurance Category Code]],5))/ICC5_MemberMonths_2021,"NA")</f>
        <v>NA</v>
      </c>
      <c r="O301" s="143" t="str">
        <f>IFERROR(Table91112152638[[#This Row],[2021]]/Table91112152638[[#This Row],[2020]]-1,"NA")</f>
        <v>NA</v>
      </c>
    </row>
    <row r="302" spans="2:15" x14ac:dyDescent="0.35">
      <c r="B302" s="64" t="s">
        <v>266</v>
      </c>
      <c r="C302" s="146" t="str">
        <f t="shared" si="10"/>
        <v>NA</v>
      </c>
      <c r="D302" s="146" t="str">
        <f t="shared" si="11"/>
        <v>NA</v>
      </c>
      <c r="E302" s="143" t="str">
        <f>IFERROR(Table9132436[[#This Row],[2021]]/Table9132436[[#This Row],[2020]]-1,"NA")</f>
        <v>NA</v>
      </c>
      <c r="G302" s="64" t="s">
        <v>266</v>
      </c>
      <c r="H302" s="146" t="str" cm="1">
        <f t="array" ref="H302">IFERROR((SUMIFS(TME[[#All],[Non-Claims: Total Primary Care Non-Claims-Based Payments]],TME[[#All],[Reporting Year]],2020,TME[[#All],[Insurance Category Code]],1))/ICC1_MemberMonths_2020,"NA")</f>
        <v>NA</v>
      </c>
      <c r="I302" s="146" t="str" cm="1">
        <f t="array" ref="I302">IFERROR((SUMIFS(TME[[#All],[Non-Claims: Total Primary Care Non-Claims-Based Payments]],TME[[#All],[Reporting Year]],2021,TME[[#All],[Insurance Category Code]],1))/ICC1_MemberMonths_2021,"NA")</f>
        <v>NA</v>
      </c>
      <c r="J302" s="143" t="str">
        <f>IFERROR(Table911142537[[#This Row],[2021]]/Table911142537[[#This Row],[2020]]-1,"NA")</f>
        <v>NA</v>
      </c>
      <c r="L302" s="64" t="s">
        <v>266</v>
      </c>
      <c r="M302" s="146" t="str" cm="1">
        <f t="array" ref="M302">IFERROR((SUMIFS(TME[[#All],[Non-Claims: Total Primary Care Non-Claims-Based Payments]],TME[[#All],[Reporting Year]],2020,TME[[#All],[Insurance Category Code]],5))/ICC5_MemberMonths_2020,"NA")</f>
        <v>NA</v>
      </c>
      <c r="N302" s="146" t="str" cm="1">
        <f t="array" ref="N302">IFERROR((SUMIFS(TME[[#All],[Non-Claims: Total Primary Care Non-Claims-Based Payments]],TME[[#All],[Reporting Year]],2021,TME[[#All],[Insurance Category Code]],5))/ICC5_MemberMonths_2021,"NA")</f>
        <v>NA</v>
      </c>
      <c r="O302" s="143" t="str">
        <f>IFERROR(Table91112152638[[#This Row],[2021]]/Table91112152638[[#This Row],[2020]]-1,"NA")</f>
        <v>NA</v>
      </c>
    </row>
    <row r="303" spans="2:15" x14ac:dyDescent="0.35">
      <c r="B303" s="83" t="s">
        <v>232</v>
      </c>
      <c r="C303" s="147" t="str">
        <f t="shared" si="10"/>
        <v>NA</v>
      </c>
      <c r="D303" s="147" t="str">
        <f t="shared" si="11"/>
        <v>NA</v>
      </c>
      <c r="E303" s="143" t="str">
        <f>IFERROR(Table9132436[[#This Row],[2021]]/Table9132436[[#This Row],[2020]]-1,"NA")</f>
        <v>NA</v>
      </c>
      <c r="G303" s="83" t="s">
        <v>232</v>
      </c>
      <c r="H303" s="147" t="str" cm="1">
        <f t="array" ref="H303">IFERROR((SUMIFS(TME[[#All],[Total Non-Claims Spending]],TME[[#All],[Reporting Year]],2020,TME[[#All],[Insurance Category Code]],1))/ICC1_MemberMonths_2020,"NA")</f>
        <v>NA</v>
      </c>
      <c r="I303" s="147" t="str" cm="1">
        <f t="array" ref="I303">IFERROR((SUMIFS(TME[[#All],[Total Non-Claims Spending]],TME[[#All],[Reporting Year]],2021,TME[[#All],[Insurance Category Code]],1))/ICC1_MemberMonths_2021,"NA")</f>
        <v>NA</v>
      </c>
      <c r="J303" s="143" t="str">
        <f>IFERROR(Table911142537[[#This Row],[2021]]/Table911142537[[#This Row],[2020]]-1,"NA")</f>
        <v>NA</v>
      </c>
      <c r="L303" s="83" t="s">
        <v>232</v>
      </c>
      <c r="M303" s="147" t="str" cm="1">
        <f t="array" ref="M303">IFERROR((SUMIFS(TME[[#All],[Total Non-Claims Spending]],TME[[#All],[Reporting Year]],2020,TME[[#All],[Insurance Category Code]],5))/ICC5_MemberMonths_2020,"NA")</f>
        <v>NA</v>
      </c>
      <c r="N303" s="147" t="str" cm="1">
        <f t="array" ref="N303">IFERROR((SUMIFS(TME[[#All],[Total Non-Claims Spending]],TME[[#All],[Reporting Year]],2021,TME[[#All],[Insurance Category Code]],5))/ICC5_MemberMonths_2021,"NA")</f>
        <v>NA</v>
      </c>
      <c r="O303" s="143" t="str">
        <f>IFERROR(Table91112152638[[#This Row],[2021]]/Table91112152638[[#This Row],[2020]]-1,"NA")</f>
        <v>NA</v>
      </c>
    </row>
    <row r="304" spans="2:15" x14ac:dyDescent="0.35">
      <c r="B304" s="84" t="s">
        <v>233</v>
      </c>
      <c r="C304" s="148" t="str">
        <f t="shared" si="10"/>
        <v>NA</v>
      </c>
      <c r="D304" s="148" t="str">
        <f t="shared" si="11"/>
        <v>NA</v>
      </c>
      <c r="E304" s="145" t="str">
        <f>IFERROR(Table9132436[[#This Row],[2021]]/Table9132436[[#This Row],[2020]]-1,"NA")</f>
        <v>NA</v>
      </c>
      <c r="G304" s="84" t="s">
        <v>233</v>
      </c>
      <c r="H304" s="148" t="str" cm="1">
        <f t="array" ref="H304">IFERROR((SUMIFS(TME[[#All],[Total Non-Truncated Claims and Non-Claims Spending]],TME[[#All],[Reporting Year]],2020,TME[[#All],[Insurance Category Code]],1))/ICC1_MemberMonths_2020,"NA")</f>
        <v>NA</v>
      </c>
      <c r="I304" s="148" t="str" cm="1">
        <f t="array" ref="I304">IFERROR((SUMIFS(TME[[#All],[Total Non-Truncated Claims and Non-Claims Spending]],TME[[#All],[Reporting Year]],2021,TME[[#All],[Insurance Category Code]],1))/ICC1_MemberMonths_2021,"NA")</f>
        <v>NA</v>
      </c>
      <c r="J304" s="145" t="str">
        <f>IFERROR(Table911142537[[#This Row],[2021]]/Table911142537[[#This Row],[2020]]-1,"NA")</f>
        <v>NA</v>
      </c>
      <c r="L304" s="84" t="s">
        <v>233</v>
      </c>
      <c r="M304" s="148" t="str" cm="1">
        <f t="array" ref="M304">IFERROR((SUMIFS(TME[[#All],[Total Non-Truncated Claims and Non-Claims Spending]],TME[[#All],[Reporting Year]],2020,TME[[#All],[Insurance Category Code]],5))/ICC5_MemberMonths_2020,"NA")</f>
        <v>NA</v>
      </c>
      <c r="N304" s="148" t="str" cm="1">
        <f t="array" ref="N304">IFERROR((SUMIFS(TME[[#All],[Total Non-Truncated Claims and Non-Claims Spending]],TME[[#All],[Reporting Year]],2021,TME[[#All],[Insurance Category Code]],5))/ICC5_MemberMonths_2021,"NA")</f>
        <v>NA</v>
      </c>
      <c r="O304" s="145" t="str">
        <f>IFERROR(Table91112152638[[#This Row],[2021]]/Table91112152638[[#This Row],[2020]]-1,"NA")</f>
        <v>NA</v>
      </c>
    </row>
    <row r="305" spans="2:15" x14ac:dyDescent="0.35">
      <c r="B305" s="85" t="s">
        <v>234</v>
      </c>
      <c r="C305" s="148" t="str">
        <f t="shared" si="10"/>
        <v>NA</v>
      </c>
      <c r="D305" s="148" t="str">
        <f t="shared" si="11"/>
        <v>NA</v>
      </c>
      <c r="E305" s="145" t="str">
        <f>IFERROR(Table9132436[[#This Row],[2021]]/Table9132436[[#This Row],[2020]]-1,"NA")</f>
        <v>NA</v>
      </c>
      <c r="G305" s="85" t="s">
        <v>234</v>
      </c>
      <c r="H305" s="148" t="str" cm="1">
        <f t="array" ref="H305">IFERROR((SUMIFS(TME[[#All],[Truncated Total Expenses (Total Truncated Claims Expenses + Non-Claims Expenses)]],TME[[#All],[Reporting Year]],2020,TME[[#All],[Insurance Category Code]],1))/ICC1_MemberMonths_2020,"NA")</f>
        <v>NA</v>
      </c>
      <c r="I305" s="148" t="str" cm="1">
        <f t="array" ref="I305">IFERROR((SUMIFS(TME[[#All],[Truncated Total Expenses (Total Truncated Claims Expenses + Non-Claims Expenses)]],TME[[#All],[Reporting Year]],2021,TME[[#All],[Insurance Category Code]],1))/ICC1_MemberMonths_2021,"NA")</f>
        <v>NA</v>
      </c>
      <c r="J305" s="145" t="str">
        <f>IFERROR(Table911142537[[#This Row],[2021]]/Table911142537[[#This Row],[2020]]-1,"NA")</f>
        <v>NA</v>
      </c>
      <c r="L305" s="85" t="s">
        <v>234</v>
      </c>
      <c r="M305" s="148" t="str" cm="1">
        <f t="array" ref="M305">IFERROR((SUMIFS(TME[[#All],[Truncated Total Expenses (Total Truncated Claims Expenses + Non-Claims Expenses)]],TME[[#All],[Reporting Year]],2020,TME[[#All],[Insurance Category Code]],5))/ICC5_MemberMonths_2020,"NA")</f>
        <v>NA</v>
      </c>
      <c r="N305" s="148" t="str" cm="1">
        <f t="array" ref="N305">IFERROR((SUMIFS(TME[[#All],[Truncated Total Expenses (Total Truncated Claims Expenses + Non-Claims Expenses)]],TME[[#All],[Reporting Year]],2021,TME[[#All],[Insurance Category Code]],5))/ICC5_MemberMonths_2021,"NA")</f>
        <v>NA</v>
      </c>
      <c r="O305" s="145" t="str">
        <f>IFERROR(Table91112152638[[#This Row],[2021]]/Table91112152638[[#This Row],[2020]]-1,"NA")</f>
        <v>NA</v>
      </c>
    </row>
    <row r="307" spans="2:15" x14ac:dyDescent="0.35">
      <c r="B307" s="71" t="s">
        <v>329</v>
      </c>
      <c r="G307" s="71" t="s">
        <v>330</v>
      </c>
      <c r="L307" s="71" t="s">
        <v>331</v>
      </c>
    </row>
    <row r="308" spans="2:15" x14ac:dyDescent="0.35">
      <c r="B308" s="70" t="s">
        <v>307</v>
      </c>
      <c r="G308" s="70" t="s">
        <v>307</v>
      </c>
      <c r="L308" s="70" t="s">
        <v>307</v>
      </c>
    </row>
    <row r="309" spans="2:15" x14ac:dyDescent="0.35">
      <c r="B309" s="69" t="s">
        <v>228</v>
      </c>
      <c r="C309" s="149" t="s">
        <v>283</v>
      </c>
      <c r="D309" s="149" t="s">
        <v>285</v>
      </c>
      <c r="E309" s="150" t="s">
        <v>213</v>
      </c>
      <c r="G309" s="69" t="s">
        <v>228</v>
      </c>
      <c r="H309" s="149" t="s">
        <v>283</v>
      </c>
      <c r="I309" s="149" t="s">
        <v>285</v>
      </c>
      <c r="J309" s="150" t="s">
        <v>213</v>
      </c>
      <c r="L309" s="69" t="s">
        <v>228</v>
      </c>
      <c r="M309" s="149" t="s">
        <v>283</v>
      </c>
      <c r="N309" s="149" t="s">
        <v>285</v>
      </c>
      <c r="O309" s="150" t="s">
        <v>213</v>
      </c>
    </row>
    <row r="310" spans="2:15" x14ac:dyDescent="0.35">
      <c r="B310" s="64" t="s">
        <v>90</v>
      </c>
      <c r="C310" s="141">
        <f>SUM(H310,M310)</f>
        <v>0</v>
      </c>
      <c r="D310" s="141">
        <f>SUM(I310,N310)</f>
        <v>0</v>
      </c>
      <c r="E310" s="143" t="str">
        <f>IFERROR(Table913162739[[#This Row],[2021]]/Table913162739[[#This Row],[2020]]-1,"NA")</f>
        <v>NA</v>
      </c>
      <c r="G310" s="64" t="s">
        <v>90</v>
      </c>
      <c r="H310" s="141">
        <f>SUMIFS(TME[[#All],[Member Months]],TME[[#All],[Reporting Year]],2020,TME[[#All],[Insurance Category Code]],2)</f>
        <v>0</v>
      </c>
      <c r="I310" s="141">
        <f>SUMIFS(TME[[#All],[Member Months]],TME[[#All],[Reporting Year]],2021,TME[[#All],[Insurance Category Code]],2)</f>
        <v>0</v>
      </c>
      <c r="J310" s="143" t="str">
        <f>IFERROR(Table91114172840[[#This Row],[2021]]/Table91114172840[[#This Row],[2020]]-1,"NA")</f>
        <v>NA</v>
      </c>
      <c r="L310" s="64" t="s">
        <v>90</v>
      </c>
      <c r="M310" s="141">
        <f>SUMIFS(TME[[#All],[Member Months]],TME[[#All],[Reporting Year]],2020,TME[[#All],[Insurance Category Code]],6)</f>
        <v>0</v>
      </c>
      <c r="N310" s="141">
        <f>SUMIFS(TME[[#All],[Member Months]],TME[[#All],[Reporting Year]],2021,TME[[#All],[Insurance Category Code]],6)</f>
        <v>0</v>
      </c>
      <c r="O310" s="143" t="str">
        <f>IFERROR(Table9111215182941[[#This Row],[2021]]/Table9111215182941[[#This Row],[2020]]-1,"NA")</f>
        <v>NA</v>
      </c>
    </row>
    <row r="311" spans="2:15" x14ac:dyDescent="0.35">
      <c r="B311" s="64" t="s">
        <v>91</v>
      </c>
      <c r="C311" s="146" t="str">
        <f t="shared" ref="C311:C332" si="12">IFERROR((SUMPRODUCT(ICC2_MemberMonths_2020,H311)+SUMPRODUCT(ICC6_MemberMonths_2020,M311))/Medicaid_MemberMonths_2020,"NA")</f>
        <v>NA</v>
      </c>
      <c r="D311" s="146" t="str">
        <f t="shared" ref="D311:D332" si="13">IFERROR((SUMPRODUCT(ICC2_MemberMonths_2021,I311)+SUMPRODUCT(ICC6_MemberMonths_2021,N311))/Medicaid_MemberMonths_2021,"NA")</f>
        <v>NA</v>
      </c>
      <c r="E311" s="143" t="str">
        <f>IFERROR(Table913162739[[#This Row],[2021]]/Table913162739[[#This Row],[2020]]-1,"NA")</f>
        <v>NA</v>
      </c>
      <c r="G311" s="64" t="s">
        <v>91</v>
      </c>
      <c r="H311" s="146" t="str" cm="1">
        <f t="array" ref="H311">IFERROR((SUMIFS(TME[[#All],[Claims: Hospital Inpatient]],TME[[#All],[Reporting Year]],2020,TME[[#All],[Insurance Category Code]],2))/ICC2_MemberMonths_2020,"NA")</f>
        <v>NA</v>
      </c>
      <c r="I311" s="146" t="str" cm="1">
        <f t="array" ref="I311">IFERROR((SUMIFS(TME[[#All],[Claims: Hospital Inpatient]],TME[[#All],[Reporting Year]],2021,TME[[#All],[Insurance Category Code]],2))/ICC2_MemberMonths_2021,"NA")</f>
        <v>NA</v>
      </c>
      <c r="J311" s="143" t="str">
        <f>IFERROR(Table91114172840[[#This Row],[2021]]/Table91114172840[[#This Row],[2020]]-1,"NA")</f>
        <v>NA</v>
      </c>
      <c r="L311" s="64" t="s">
        <v>91</v>
      </c>
      <c r="M311" s="146" t="str" cm="1">
        <f t="array" ref="M311">IFERROR((SUMIFS(TME[[#All],[Claims: Hospital Inpatient]],TME[[#All],[Reporting Year]],2020,TME[[#All],[Insurance Category Code]],6))/ICC6_MemberMonths_2020,"NA")</f>
        <v>NA</v>
      </c>
      <c r="N311" s="146" t="str" cm="1">
        <f t="array" ref="N311">IFERROR((SUMIFS(TME[[#All],[Claims: Hospital Inpatient]],TME[[#All],[Reporting Year]],2021,TME[[#All],[Insurance Category Code]],6))/ICC6_MemberMonths_2021,"NA")</f>
        <v>NA</v>
      </c>
      <c r="O311" s="143" t="str">
        <f>IFERROR(Table9111215182941[[#This Row],[2021]]/Table9111215182941[[#This Row],[2020]]-1,"NA")</f>
        <v>NA</v>
      </c>
    </row>
    <row r="312" spans="2:15" x14ac:dyDescent="0.35">
      <c r="B312" s="64" t="s">
        <v>92</v>
      </c>
      <c r="C312" s="146" t="str">
        <f t="shared" si="12"/>
        <v>NA</v>
      </c>
      <c r="D312" s="146" t="str">
        <f t="shared" si="13"/>
        <v>NA</v>
      </c>
      <c r="E312" s="143" t="str">
        <f>IFERROR(Table913162739[[#This Row],[2021]]/Table913162739[[#This Row],[2020]]-1,"NA")</f>
        <v>NA</v>
      </c>
      <c r="F312" s="37"/>
      <c r="G312" s="64" t="s">
        <v>92</v>
      </c>
      <c r="H312" s="146" t="str" cm="1">
        <f t="array" ref="H312">IFERROR((SUMIFS(TME[[#All],[Claims: Hospital Outpatient]],TME[[#All],[Reporting Year]],2020,TME[[#All],[Insurance Category Code]],2))/ICC2_MemberMonths_2020,"NA")</f>
        <v>NA</v>
      </c>
      <c r="I312" s="146" t="str" cm="1">
        <f t="array" ref="I312">IFERROR((SUMIFS(TME[[#All],[Claims: Hospital Outpatient]],TME[[#All],[Reporting Year]],2021,TME[[#All],[Insurance Category Code]],2))/ICC2_MemberMonths_2021,"NA")</f>
        <v>NA</v>
      </c>
      <c r="J312" s="143" t="str">
        <f>IFERROR(Table91114172840[[#This Row],[2021]]/Table91114172840[[#This Row],[2020]]-1,"NA")</f>
        <v>NA</v>
      </c>
      <c r="L312" s="64" t="s">
        <v>92</v>
      </c>
      <c r="M312" s="146" t="str" cm="1">
        <f t="array" ref="M312">IFERROR((SUMIFS(TME[[#All],[Claims: Hospital Outpatient]],TME[[#All],[Reporting Year]],2020,TME[[#All],[Insurance Category Code]],6))/ICC6_MemberMonths_2020,"NA")</f>
        <v>NA</v>
      </c>
      <c r="N312" s="146" t="str" cm="1">
        <f t="array" ref="N312">IFERROR((SUMIFS(TME[[#All],[Claims: Hospital Outpatient]],TME[[#All],[Reporting Year]],2021,TME[[#All],[Insurance Category Code]],6))/ICC6_MemberMonths_2021,"NA")</f>
        <v>NA</v>
      </c>
      <c r="O312" s="143" t="str">
        <f>IFERROR(Table9111215182941[[#This Row],[2021]]/Table9111215182941[[#This Row],[2020]]-1,"NA")</f>
        <v>NA</v>
      </c>
    </row>
    <row r="313" spans="2:15" x14ac:dyDescent="0.35">
      <c r="B313" s="64" t="s">
        <v>93</v>
      </c>
      <c r="C313" s="146" t="str">
        <f t="shared" si="12"/>
        <v>NA</v>
      </c>
      <c r="D313" s="146" t="str">
        <f t="shared" si="13"/>
        <v>NA</v>
      </c>
      <c r="E313" s="143" t="str">
        <f>IFERROR(Table913162739[[#This Row],[2021]]/Table913162739[[#This Row],[2020]]-1,"NA")</f>
        <v>NA</v>
      </c>
      <c r="G313" s="64" t="s">
        <v>93</v>
      </c>
      <c r="H313" s="146" t="str" cm="1">
        <f t="array" ref="H313">IFERROR((SUMIFS(TME[[#All],[Claims: Professional, Primary Care Providers]],TME[[#All],[Reporting Year]],2020,TME[[#All],[Insurance Category Code]],2))/ICC2_MemberMonths_2020,"NA")</f>
        <v>NA</v>
      </c>
      <c r="I313" s="146" t="str" cm="1">
        <f t="array" ref="I313">IFERROR((SUMIFS(TME[[#All],[Claims: Professional, Primary Care Providers]],TME[[#All],[Reporting Year]],2021,TME[[#All],[Insurance Category Code]],2))/ICC2_MemberMonths_2021,"NA")</f>
        <v>NA</v>
      </c>
      <c r="J313" s="143" t="str">
        <f>IFERROR(Table91114172840[[#This Row],[2021]]/Table91114172840[[#This Row],[2020]]-1,"NA")</f>
        <v>NA</v>
      </c>
      <c r="L313" s="64" t="s">
        <v>93</v>
      </c>
      <c r="M313" s="146" t="str" cm="1">
        <f t="array" ref="M313">IFERROR((SUMIFS(TME[[#All],[Claims: Professional, Primary Care Providers]],TME[[#All],[Reporting Year]],2020,TME[[#All],[Insurance Category Code]],6))/ICC6_MemberMonths_2020,"NA")</f>
        <v>NA</v>
      </c>
      <c r="N313" s="146" t="str" cm="1">
        <f t="array" ref="N313">IFERROR((SUMIFS(TME[[#All],[Claims: Professional, Primary Care Providers]],TME[[#All],[Reporting Year]],2021,TME[[#All],[Insurance Category Code]],6))/ICC6_MemberMonths_2021,"NA")</f>
        <v>NA</v>
      </c>
      <c r="O313" s="143" t="str">
        <f>IFERROR(Table9111215182941[[#This Row],[2021]]/Table9111215182941[[#This Row],[2020]]-1,"NA")</f>
        <v>NA</v>
      </c>
    </row>
    <row r="314" spans="2:15" x14ac:dyDescent="0.35">
      <c r="B314" s="64" t="s">
        <v>94</v>
      </c>
      <c r="C314" s="146" t="str">
        <f t="shared" si="12"/>
        <v>NA</v>
      </c>
      <c r="D314" s="146" t="str">
        <f t="shared" si="13"/>
        <v>NA</v>
      </c>
      <c r="E314" s="143" t="str">
        <f>IFERROR(Table913162739[[#This Row],[2021]]/Table913162739[[#This Row],[2020]]-1,"NA")</f>
        <v>NA</v>
      </c>
      <c r="G314" s="64" t="s">
        <v>94</v>
      </c>
      <c r="H314" s="146" t="str" cm="1">
        <f t="array" ref="H314">IFERROR((SUMIFS(TME[[#All],[Claims: Professional, Specialty Providers]],TME[[#All],[Reporting Year]],2020,TME[[#All],[Insurance Category Code]],2))/ICC2_MemberMonths_2020,"NA")</f>
        <v>NA</v>
      </c>
      <c r="I314" s="146" t="str" cm="1">
        <f t="array" ref="I314">IFERROR((SUMIFS(TME[[#All],[Claims: Professional, Specialty Providers]],TME[[#All],[Reporting Year]],2021,TME[[#All],[Insurance Category Code]],2))/ICC2_MemberMonths_2021,"NA")</f>
        <v>NA</v>
      </c>
      <c r="J314" s="143" t="str">
        <f>IFERROR(Table91114172840[[#This Row],[2021]]/Table91114172840[[#This Row],[2020]]-1,"NA")</f>
        <v>NA</v>
      </c>
      <c r="L314" s="64" t="s">
        <v>94</v>
      </c>
      <c r="M314" s="146" t="str" cm="1">
        <f t="array" ref="M314">IFERROR((SUMIFS(TME[[#All],[Claims: Professional, Specialty Providers]],TME[[#All],[Reporting Year]],2020,TME[[#All],[Insurance Category Code]],6))/ICC6_MemberMonths_2020,"NA")</f>
        <v>NA</v>
      </c>
      <c r="N314" s="146" t="str" cm="1">
        <f t="array" ref="N314">IFERROR((SUMIFS(TME[[#All],[Claims: Professional, Specialty Providers]],TME[[#All],[Reporting Year]],2021,TME[[#All],[Insurance Category Code]],6))/ICC6_MemberMonths_2021,"NA")</f>
        <v>NA</v>
      </c>
      <c r="O314" s="143" t="str">
        <f>IFERROR(Table9111215182941[[#This Row],[2021]]/Table9111215182941[[#This Row],[2020]]-1,"NA")</f>
        <v>NA</v>
      </c>
    </row>
    <row r="315" spans="2:15" x14ac:dyDescent="0.35">
      <c r="B315" s="64" t="s">
        <v>95</v>
      </c>
      <c r="C315" s="146" t="str">
        <f t="shared" si="12"/>
        <v>NA</v>
      </c>
      <c r="D315" s="146" t="str">
        <f t="shared" si="13"/>
        <v>NA</v>
      </c>
      <c r="E315" s="143" t="str">
        <f>IFERROR(Table913162739[[#This Row],[2021]]/Table913162739[[#This Row],[2020]]-1,"NA")</f>
        <v>NA</v>
      </c>
      <c r="G315" s="64" t="s">
        <v>95</v>
      </c>
      <c r="H315" s="146" t="str" cm="1">
        <f t="array" ref="H315">IFERROR((SUMIFS(TME[[#All],[Claims: Professional, Other Providers]],TME[[#All],[Reporting Year]],2020,TME[[#All],[Insurance Category Code]],2))/ICC2_MemberMonths_2020,"NA")</f>
        <v>NA</v>
      </c>
      <c r="I315" s="146" t="str" cm="1">
        <f t="array" ref="I315">IFERROR((SUMIFS(TME[[#All],[Claims: Professional, Other Providers]],TME[[#All],[Reporting Year]],2021,TME[[#All],[Insurance Category Code]],2))/ICC2_MemberMonths_2021,"NA")</f>
        <v>NA</v>
      </c>
      <c r="J315" s="143" t="str">
        <f>IFERROR(Table91114172840[[#This Row],[2021]]/Table91114172840[[#This Row],[2020]]-1,"NA")</f>
        <v>NA</v>
      </c>
      <c r="L315" s="64" t="s">
        <v>95</v>
      </c>
      <c r="M315" s="146" t="str" cm="1">
        <f t="array" ref="M315">IFERROR((SUMIFS(TME[[#All],[Claims: Professional, Other Providers]],TME[[#All],[Reporting Year]],2020,TME[[#All],[Insurance Category Code]],6))/ICC6_MemberMonths_2020,"NA")</f>
        <v>NA</v>
      </c>
      <c r="N315" s="146" t="str" cm="1">
        <f t="array" ref="N315">IFERROR((SUMIFS(TME[[#All],[Claims: Professional, Other Providers]],TME[[#All],[Reporting Year]],2021,TME[[#All],[Insurance Category Code]],6))/ICC6_MemberMonths_2021,"NA")</f>
        <v>NA</v>
      </c>
      <c r="O315" s="143" t="str">
        <f>IFERROR(Table9111215182941[[#This Row],[2021]]/Table9111215182941[[#This Row],[2020]]-1,"NA")</f>
        <v>NA</v>
      </c>
    </row>
    <row r="316" spans="2:15" x14ac:dyDescent="0.35">
      <c r="B316" s="64" t="s">
        <v>96</v>
      </c>
      <c r="C316" s="146" t="str">
        <f t="shared" si="12"/>
        <v>NA</v>
      </c>
      <c r="D316" s="146" t="str">
        <f t="shared" si="13"/>
        <v>NA</v>
      </c>
      <c r="E316" s="143" t="str">
        <f>IFERROR(Table913162739[[#This Row],[2021]]/Table913162739[[#This Row],[2020]]-1,"NA")</f>
        <v>NA</v>
      </c>
      <c r="G316" s="64" t="s">
        <v>96</v>
      </c>
      <c r="H316" s="146" t="str" cm="1">
        <f t="array" ref="H316">IFERROR((SUMIFS(TME[[#All],[Claims: Long-Term Care]],TME[[#All],[Reporting Year]],2020,TME[[#All],[Insurance Category Code]],2))/ICC2_MemberMonths_2020,"NA")</f>
        <v>NA</v>
      </c>
      <c r="I316" s="146" t="str" cm="1">
        <f t="array" ref="I316">IFERROR((SUMIFS(TME[[#All],[Claims: Long-Term Care]],TME[[#All],[Reporting Year]],2021,TME[[#All],[Insurance Category Code]],2))/ICC2_MemberMonths_2021,"NA")</f>
        <v>NA</v>
      </c>
      <c r="J316" s="143" t="str">
        <f>IFERROR(Table91114172840[[#This Row],[2021]]/Table91114172840[[#This Row],[2020]]-1,"NA")</f>
        <v>NA</v>
      </c>
      <c r="L316" s="64" t="s">
        <v>96</v>
      </c>
      <c r="M316" s="146" t="str" cm="1">
        <f t="array" ref="M316">IFERROR((SUMIFS(TME[[#All],[Claims: Long-Term Care]],TME[[#All],[Reporting Year]],2020,TME[[#All],[Insurance Category Code]],6))/ICC6_MemberMonths_2020,"NA")</f>
        <v>NA</v>
      </c>
      <c r="N316" s="146" t="str" cm="1">
        <f t="array" ref="N316">IFERROR((SUMIFS(TME[[#All],[Claims: Long-Term Care]],TME[[#All],[Reporting Year]],2021,TME[[#All],[Insurance Category Code]],6))/ICC6_MemberMonths_2021,"NA")</f>
        <v>NA</v>
      </c>
      <c r="O316" s="143" t="str">
        <f>IFERROR(Table9111215182941[[#This Row],[2021]]/Table9111215182941[[#This Row],[2020]]-1,"NA")</f>
        <v>NA</v>
      </c>
    </row>
    <row r="317" spans="2:15" x14ac:dyDescent="0.35">
      <c r="B317" s="64" t="s">
        <v>229</v>
      </c>
      <c r="C317" s="146" t="str">
        <f t="shared" si="12"/>
        <v>NA</v>
      </c>
      <c r="D317" s="146" t="str">
        <f t="shared" si="13"/>
        <v>NA</v>
      </c>
      <c r="E317" s="143" t="str">
        <f>IFERROR(Table913162739[[#This Row],[2021]]/Table913162739[[#This Row],[2020]]-1,"NA")</f>
        <v>NA</v>
      </c>
      <c r="G317" s="64" t="s">
        <v>229</v>
      </c>
      <c r="H317" s="146" t="str" cm="1">
        <f t="array" ref="H317">IFERROR((SUMIFS(TME[[#All],[Claims: Retail Pharmacy]],TME[[#All],[Reporting Year]],2020,TME[[#All],[Insurance Category Code]],2))/ICC2_MemberMonths_2020,"NA")</f>
        <v>NA</v>
      </c>
      <c r="I317" s="146" t="str" cm="1">
        <f t="array" ref="I317">IFERROR((SUMIFS(TME[[#All],[Claims: Retail Pharmacy]],TME[[#All],[Reporting Year]],2021,TME[[#All],[Insurance Category Code]],2))/ICC2_MemberMonths_2021,"NA")</f>
        <v>NA</v>
      </c>
      <c r="J317" s="143" t="str">
        <f>IFERROR(Table91114172840[[#This Row],[2021]]/Table91114172840[[#This Row],[2020]]-1,"NA")</f>
        <v>NA</v>
      </c>
      <c r="L317" s="64" t="s">
        <v>229</v>
      </c>
      <c r="M317" s="146" t="str" cm="1">
        <f t="array" ref="M317">IFERROR((SUMIFS(TME[[#All],[Claims: Retail Pharmacy]],TME[[#All],[Reporting Year]],2020,TME[[#All],[Insurance Category Code]],6))/ICC6_MemberMonths_2020,"NA")</f>
        <v>NA</v>
      </c>
      <c r="N317" s="146" t="str" cm="1">
        <f t="array" ref="N317">IFERROR((SUMIFS(TME[[#All],[Claims: Retail Pharmacy]],TME[[#All],[Reporting Year]],2021,TME[[#All],[Insurance Category Code]],6))/ICC6_MemberMonths_2021,"NA")</f>
        <v>NA</v>
      </c>
      <c r="O317" s="143" t="str">
        <f>IFERROR(Table9111215182941[[#This Row],[2021]]/Table9111215182941[[#This Row],[2020]]-1,"NA")</f>
        <v>NA</v>
      </c>
    </row>
    <row r="318" spans="2:15" x14ac:dyDescent="0.35">
      <c r="B318" s="82" t="s">
        <v>230</v>
      </c>
      <c r="C318" s="146" t="str">
        <f t="shared" si="12"/>
        <v>NA</v>
      </c>
      <c r="D318" s="146" t="str">
        <f t="shared" si="13"/>
        <v>NA</v>
      </c>
      <c r="E318" s="143" t="str">
        <f>IFERROR(Table913162739[[#This Row],[2021]]/Table913162739[[#This Row],[2020]]-1,"NA")</f>
        <v>NA</v>
      </c>
      <c r="G318" s="82" t="s">
        <v>230</v>
      </c>
      <c r="H318" s="146" t="str" cm="1">
        <f t="array" ref="H318">IFERROR((SUMIFS(TME[[#All],[Claims: Retail Pharmacy]],TME[[#All],[Reporting Year]],2020,TME[[#All],[Insurance Category Code]],2))-ABS(SUMIFS(RX_REBATE[[#All],[Total Pharmacy Rebate Amount]],RX_REBATE[[#All],[Reporting Year]],2020,RX_REBATE[[#All],[Insurance Category Code]],2))/ICC2_MemberMonths_2020,"NA")</f>
        <v>NA</v>
      </c>
      <c r="I318" s="146" t="str" cm="1">
        <f t="array" ref="I318">IFERROR((SUMIFS(TME[[#All],[Claims: Retail Pharmacy]],TME[[#All],[Reporting Year]],2021,TME[[#All],[Insurance Category Code]],2))-ABS(SUMIFS(RX_REBATE[[#All],[Total Pharmacy Rebate Amount]],RX_REBATE[[#All],[Reporting Year]],2021,RX_REBATE[[#All],[Insurance Category Code]],2))/ICC2_MemberMonths_2021,"NA")</f>
        <v>NA</v>
      </c>
      <c r="J318" s="143" t="str">
        <f>IFERROR(Table91114172840[[#This Row],[2021]]/Table91114172840[[#This Row],[2020]]-1,"NA")</f>
        <v>NA</v>
      </c>
      <c r="L318" s="82" t="s">
        <v>230</v>
      </c>
      <c r="M318" s="146" t="str" cm="1">
        <f t="array" ref="M318">IFERROR((SUMIFS(TME[[#All],[Claims: Retail Pharmacy]],TME[[#All],[Reporting Year]],2020,TME[[#All],[Insurance Category Code]],6))-ABS(SUMIFS(RX_REBATE[[#All],[Total Pharmacy Rebate Amount]],RX_REBATE[[#All],[Reporting Year]],2020,RX_REBATE[[#All],[Insurance Category Code]],6))/ICC6_MemberMonths_2020,"NA")</f>
        <v>NA</v>
      </c>
      <c r="N318" s="146" t="str" cm="1">
        <f t="array" ref="N318">IFERROR((SUMIFS(TME[[#All],[Claims: Retail Pharmacy]],TME[[#All],[Reporting Year]],2021,TME[[#All],[Insurance Category Code]],6))-ABS(SUMIFS(RX_REBATE[[#All],[Total Pharmacy Rebate Amount]],RX_REBATE[[#All],[Reporting Year]],2021,RX_REBATE[[#All],[Insurance Category Code]],6))/ICC6_MemberMonths_2021,"NA")</f>
        <v>NA</v>
      </c>
      <c r="O318" s="143" t="str">
        <f>IFERROR(Table9111215182941[[#This Row],[2021]]/Table9111215182941[[#This Row],[2020]]-1,"NA")</f>
        <v>NA</v>
      </c>
    </row>
    <row r="319" spans="2:15" x14ac:dyDescent="0.35">
      <c r="B319" s="82" t="s">
        <v>231</v>
      </c>
      <c r="C319" s="146" t="str">
        <f t="shared" si="12"/>
        <v>NA</v>
      </c>
      <c r="D319" s="146" t="str">
        <f t="shared" si="13"/>
        <v>NA</v>
      </c>
      <c r="E319" s="143" t="str">
        <f>IFERROR(Table913162739[[#This Row],[2021]]/Table913162739[[#This Row],[2020]]-1,"NA")</f>
        <v>NA</v>
      </c>
      <c r="G319" s="82" t="s">
        <v>231</v>
      </c>
      <c r="H319" s="146" t="str" cm="1">
        <f t="array" ref="H319">IFERROR(-ABS(SUMIFS(RX_REBATE[[#All],[Total Pharmacy Rebate Amount]],RX_REBATE[[#All],[Reporting Year]],2020,RX_REBATE[[#All],[Insurance Category Code]],2))/ICC2_MemberMonths_2020,"NA")</f>
        <v>NA</v>
      </c>
      <c r="I319" s="146" t="str" cm="1">
        <f t="array" ref="I319">IFERROR(-ABS(SUMIFS(RX_REBATE[[#All],[Total Pharmacy Rebate Amount]],RX_REBATE[[#All],[Reporting Year]],2021,RX_REBATE[[#All],[Insurance Category Code]],2))/ICC2_MemberMonths_2021,"NA")</f>
        <v>NA</v>
      </c>
      <c r="J319" s="143" t="str">
        <f>IFERROR(Table91114172840[[#This Row],[2021]]/Table91114172840[[#This Row],[2020]]-1,"NA")</f>
        <v>NA</v>
      </c>
      <c r="L319" s="82" t="s">
        <v>231</v>
      </c>
      <c r="M319" s="146" t="str" cm="1">
        <f t="array" ref="M319">IFERROR(-ABS(SUMIFS(RX_REBATE[[#All],[Total Pharmacy Rebate Amount]],RX_REBATE[[#All],[Reporting Year]],2020,RX_REBATE[[#All],[Insurance Category Code]],6))/ICC6_MemberMonths_2020,"NA")</f>
        <v>NA</v>
      </c>
      <c r="N319" s="146" t="str" cm="1">
        <f t="array" ref="N319">IFERROR(-ABS(SUMIFS(RX_REBATE[[#All],[Total Pharmacy Rebate Amount]],RX_REBATE[[#All],[Reporting Year]],2021,RX_REBATE[[#All],[Insurance Category Code]],6))/ICC6_MemberMonths_2021,"NA")</f>
        <v>NA</v>
      </c>
      <c r="O319" s="143" t="str">
        <f>IFERROR(Table9111215182941[[#This Row],[2021]]/Table9111215182941[[#This Row],[2020]]-1,"NA")</f>
        <v>NA</v>
      </c>
    </row>
    <row r="320" spans="2:15" x14ac:dyDescent="0.35">
      <c r="B320" s="64" t="s">
        <v>98</v>
      </c>
      <c r="C320" s="146" t="str">
        <f t="shared" si="12"/>
        <v>NA</v>
      </c>
      <c r="D320" s="146" t="str">
        <f t="shared" si="13"/>
        <v>NA</v>
      </c>
      <c r="E320" s="143" t="str">
        <f>IFERROR(Table913162739[[#This Row],[2021]]/Table913162739[[#This Row],[2020]]-1,"NA")</f>
        <v>NA</v>
      </c>
      <c r="G320" s="64" t="s">
        <v>98</v>
      </c>
      <c r="H320" s="146" t="str" cm="1">
        <f t="array" ref="H320">IFERROR((SUMIFS(TME[[#All],[Claims: Other]],TME[[#All],[Reporting Year]],2020,TME[[#All],[Insurance Category Code]],2))/ICC2_MemberMonths_2020,"NA")</f>
        <v>NA</v>
      </c>
      <c r="I320" s="146" t="str" cm="1">
        <f t="array" ref="I320">IFERROR((SUMIFS(TME[[#All],[Claims: Other]],TME[[#All],[Reporting Year]],2021,TME[[#All],[Insurance Category Code]],2))/ICC2_MemberMonths_2021,"NA")</f>
        <v>NA</v>
      </c>
      <c r="J320" s="143" t="str">
        <f>IFERROR(Table91114172840[[#This Row],[2021]]/Table91114172840[[#This Row],[2020]]-1,"NA")</f>
        <v>NA</v>
      </c>
      <c r="L320" s="64" t="s">
        <v>98</v>
      </c>
      <c r="M320" s="146" t="str" cm="1">
        <f t="array" ref="M320">IFERROR((SUMIFS(TME[[#All],[Claims: Other]],TME[[#All],[Reporting Year]],2020,TME[[#All],[Insurance Category Code]],6))/ICC6_MemberMonths_2020,"NA")</f>
        <v>NA</v>
      </c>
      <c r="N320" s="146" t="str" cm="1">
        <f t="array" ref="N320">IFERROR((SUMIFS(TME[[#All],[Claims: Other]],TME[[#All],[Reporting Year]],2021,TME[[#All],[Insurance Category Code]],6))/ICC6_MemberMonths_2021,"NA")</f>
        <v>NA</v>
      </c>
      <c r="O320" s="143" t="str">
        <f>IFERROR(Table9111215182941[[#This Row],[2021]]/Table9111215182941[[#This Row],[2020]]-1,"NA")</f>
        <v>NA</v>
      </c>
    </row>
    <row r="321" spans="2:15" x14ac:dyDescent="0.35">
      <c r="B321" s="83" t="s">
        <v>204</v>
      </c>
      <c r="C321" s="147" t="str">
        <f t="shared" si="12"/>
        <v>NA</v>
      </c>
      <c r="D321" s="147" t="str">
        <f t="shared" si="13"/>
        <v>NA</v>
      </c>
      <c r="E321" s="144" t="str">
        <f>IFERROR(Table913162739[[#This Row],[2021]]/Table913162739[[#This Row],[2020]]-1,"NA")</f>
        <v>NA</v>
      </c>
      <c r="G321" s="83" t="s">
        <v>204</v>
      </c>
      <c r="H321" s="147" t="str" cm="1">
        <f t="array" ref="H321">IFERROR((SUMIFS(TME[[#All],[Total Non-Truncated Claims Spending]],TME[[#All],[Reporting Year]],2020,TME[[#All],[Insurance Category Code]],2))/ICC2_MemberMonths_2020,"NA")</f>
        <v>NA</v>
      </c>
      <c r="I321" s="147" t="str" cm="1">
        <f t="array" ref="I321">IFERROR((SUMIFS(TME[[#All],[Total Non-Truncated Claims Spending]],TME[[#All],[Reporting Year]],2021,TME[[#All],[Insurance Category Code]],2))/ICC2_MemberMonths_2021,"NA")</f>
        <v>NA</v>
      </c>
      <c r="J321" s="144" t="str">
        <f>IFERROR(Table91114172840[[#This Row],[2021]]/Table91114172840[[#This Row],[2020]]-1,"NA")</f>
        <v>NA</v>
      </c>
      <c r="L321" s="83" t="s">
        <v>204</v>
      </c>
      <c r="M321" s="147" t="str" cm="1">
        <f t="array" ref="M321">IFERROR((SUMIFS(TME[[#All],[Total Non-Truncated Claims Spending]],TME[[#All],[Reporting Year]],2020,TME[[#All],[Insurance Category Code]],6))/ICC6_MemberMonths_2020,"NA")</f>
        <v>NA</v>
      </c>
      <c r="N321" s="147" t="str" cm="1">
        <f t="array" ref="N321">IFERROR((SUMIFS(TME[[#All],[Total Non-Truncated Claims Spending]],TME[[#All],[Reporting Year]],2021,TME[[#All],[Insurance Category Code]],6))/ICC6_MemberMonths_2021,"NA")</f>
        <v>NA</v>
      </c>
      <c r="O321" s="144" t="str">
        <f>IFERROR(Table9111215182941[[#This Row],[2021]]/Table9111215182941[[#This Row],[2020]]-1,"NA")</f>
        <v>NA</v>
      </c>
    </row>
    <row r="322" spans="2:15" x14ac:dyDescent="0.35">
      <c r="B322" s="83" t="s">
        <v>205</v>
      </c>
      <c r="C322" s="147" t="str">
        <f t="shared" si="12"/>
        <v>NA</v>
      </c>
      <c r="D322" s="147" t="str">
        <f t="shared" si="13"/>
        <v>NA</v>
      </c>
      <c r="E322" s="144" t="str">
        <f>IFERROR(Table913162739[[#This Row],[2021]]/Table913162739[[#This Row],[2020]]-1,"NA")</f>
        <v>NA</v>
      </c>
      <c r="G322" s="83" t="s">
        <v>205</v>
      </c>
      <c r="H322" s="147" t="str" cm="1">
        <f t="array" ref="H322">IFERROR((SUMIFS(TME[[#All],[Total Truncated Claims Spending]],TME[[#All],[Reporting Year]],2020,TME[[#All],[Insurance Category Code]],2))/ICC2_MemberMonths_2020,"NA")</f>
        <v>NA</v>
      </c>
      <c r="I322" s="147" t="str" cm="1">
        <f t="array" ref="I322">IFERROR((SUMIFS(TME[[#All],[Total Truncated Claims Spending]],TME[[#All],[Reporting Year]],2021,TME[[#All],[Insurance Category Code]],2))/ICC2_MemberMonths_2021,"NA")</f>
        <v>NA</v>
      </c>
      <c r="J322" s="144" t="str">
        <f>IFERROR(Table91114172840[[#This Row],[2021]]/Table91114172840[[#This Row],[2020]]-1,"NA")</f>
        <v>NA</v>
      </c>
      <c r="L322" s="83" t="s">
        <v>205</v>
      </c>
      <c r="M322" s="147" t="str" cm="1">
        <f t="array" ref="M322">IFERROR((SUMIFS(TME[[#All],[Total Truncated Claims Spending]],TME[[#All],[Reporting Year]],2020,TME[[#All],[Insurance Category Code]],6))/ICC6_MemberMonths_2020,"NA")</f>
        <v>NA</v>
      </c>
      <c r="N322" s="147" t="str" cm="1">
        <f t="array" ref="N322">IFERROR((SUMIFS(TME[[#All],[Total Truncated Claims Spending]],TME[[#All],[Reporting Year]],2021,TME[[#All],[Insurance Category Code]],6))/ICC6_MemberMonths_2021,"NA")</f>
        <v>NA</v>
      </c>
      <c r="O322" s="144" t="str">
        <f>IFERROR(Table9111215182941[[#This Row],[2021]]/Table9111215182941[[#This Row],[2020]]-1,"NA")</f>
        <v>NA</v>
      </c>
    </row>
    <row r="323" spans="2:15" x14ac:dyDescent="0.35">
      <c r="B323" s="64" t="s">
        <v>99</v>
      </c>
      <c r="C323" s="146" t="str">
        <f t="shared" si="12"/>
        <v>NA</v>
      </c>
      <c r="D323" s="146" t="str">
        <f t="shared" si="13"/>
        <v>NA</v>
      </c>
      <c r="E323" s="143" t="str">
        <f>IFERROR(Table913162739[[#This Row],[2021]]/Table913162739[[#This Row],[2020]]-1,"NA")</f>
        <v>NA</v>
      </c>
      <c r="G323" s="64" t="s">
        <v>99</v>
      </c>
      <c r="H323" s="146" t="str" cm="1">
        <f t="array" ref="H323">IFERROR((SUMIFS(TME[[#All],[Non-Claims: Capitation or Bundled Pmts]],TME[[#All],[Reporting Year]],2020,TME[[#All],[Insurance Category Code]],2))/ICC2_MemberMonths_2020,"NA")</f>
        <v>NA</v>
      </c>
      <c r="I323" s="146" t="str" cm="1">
        <f t="array" ref="I323">IFERROR((SUMIFS(TME[[#All],[Non-Claims: Capitation or Bundled Pmts]],TME[[#All],[Reporting Year]],2021,TME[[#All],[Insurance Category Code]],2))/ICC2_MemberMonths_2021,"NA")</f>
        <v>NA</v>
      </c>
      <c r="J323" s="143" t="str">
        <f>IFERROR(Table91114172840[[#This Row],[2021]]/Table91114172840[[#This Row],[2020]]-1,"NA")</f>
        <v>NA</v>
      </c>
      <c r="L323" s="64" t="s">
        <v>99</v>
      </c>
      <c r="M323" s="146" t="str" cm="1">
        <f t="array" ref="M323">IFERROR((SUMIFS(TME[[#All],[Non-Claims: Capitation or Bundled Pmts]],TME[[#All],[Reporting Year]],2020,TME[[#All],[Insurance Category Code]],6))/ICC6_MemberMonths_2020,"NA")</f>
        <v>NA</v>
      </c>
      <c r="N323" s="146" t="str" cm="1">
        <f t="array" ref="N323">IFERROR((SUMIFS(TME[[#All],[Non-Claims: Capitation or Bundled Pmts]],TME[[#All],[Reporting Year]],2021,TME[[#All],[Insurance Category Code]],6))/ICC6_MemberMonths_2021,"NA")</f>
        <v>NA</v>
      </c>
      <c r="O323" s="143" t="str">
        <f>IFERROR(Table9111215182941[[#This Row],[2021]]/Table9111215182941[[#This Row],[2020]]-1,"NA")</f>
        <v>NA</v>
      </c>
    </row>
    <row r="324" spans="2:15" x14ac:dyDescent="0.35">
      <c r="B324" s="64" t="s">
        <v>100</v>
      </c>
      <c r="C324" s="146" t="str">
        <f t="shared" si="12"/>
        <v>NA</v>
      </c>
      <c r="D324" s="146" t="str">
        <f t="shared" si="13"/>
        <v>NA</v>
      </c>
      <c r="E324" s="143" t="str">
        <f>IFERROR(Table913162739[[#This Row],[2021]]/Table913162739[[#This Row],[2020]]-1,"NA")</f>
        <v>NA</v>
      </c>
      <c r="G324" s="64" t="s">
        <v>100</v>
      </c>
      <c r="H324" s="146" t="str" cm="1">
        <f t="array" ref="H324">IFERROR((SUMIFS(TME[[#All],[Non-Claims: Performance Incentive Pmts]],TME[[#All],[Reporting Year]],2020,TME[[#All],[Insurance Category Code]],2))/ICC2_MemberMonths_2020,"NA")</f>
        <v>NA</v>
      </c>
      <c r="I324" s="146" t="str" cm="1">
        <f t="array" ref="I324">IFERROR((SUMIFS(TME[[#All],[Non-Claims: Performance Incentive Pmts]],TME[[#All],[Reporting Year]],2021,TME[[#All],[Insurance Category Code]],2))/ICC2_MemberMonths_2021,"NA")</f>
        <v>NA</v>
      </c>
      <c r="J324" s="143" t="str">
        <f>IFERROR(Table91114172840[[#This Row],[2021]]/Table91114172840[[#This Row],[2020]]-1,"NA")</f>
        <v>NA</v>
      </c>
      <c r="L324" s="64" t="s">
        <v>100</v>
      </c>
      <c r="M324" s="146" t="str" cm="1">
        <f t="array" ref="M324">IFERROR((SUMIFS(TME[[#All],[Non-Claims: Performance Incentive Pmts]],TME[[#All],[Reporting Year]],2020,TME[[#All],[Insurance Category Code]],6))/ICC6_MemberMonths_2020,"NA")</f>
        <v>NA</v>
      </c>
      <c r="N324" s="146" t="str" cm="1">
        <f t="array" ref="N324">IFERROR((SUMIFS(TME[[#All],[Non-Claims: Performance Incentive Pmts]],TME[[#All],[Reporting Year]],2021,TME[[#All],[Insurance Category Code]],6))/ICC6_MemberMonths_2021,"NA")</f>
        <v>NA</v>
      </c>
      <c r="O324" s="143" t="str">
        <f>IFERROR(Table9111215182941[[#This Row],[2021]]/Table9111215182941[[#This Row],[2020]]-1,"NA")</f>
        <v>NA</v>
      </c>
    </row>
    <row r="325" spans="2:15" x14ac:dyDescent="0.35">
      <c r="B325" s="64" t="s">
        <v>101</v>
      </c>
      <c r="C325" s="146" t="str">
        <f t="shared" si="12"/>
        <v>NA</v>
      </c>
      <c r="D325" s="146" t="str">
        <f t="shared" si="13"/>
        <v>NA</v>
      </c>
      <c r="E325" s="143" t="str">
        <f>IFERROR(Table913162739[[#This Row],[2021]]/Table913162739[[#This Row],[2020]]-1,"NA")</f>
        <v>NA</v>
      </c>
      <c r="G325" s="64" t="s">
        <v>101</v>
      </c>
      <c r="H325" s="146" t="str" cm="1">
        <f t="array" ref="H325">IFERROR((SUMIFS(TME[[#All],[Non-Claims: Pop Health and Practice Infrastructure Pmts]],TME[[#All],[Reporting Year]],2020,TME[[#All],[Insurance Category Code]],2))/ICC2_MemberMonths_2020,"NA")</f>
        <v>NA</v>
      </c>
      <c r="I325" s="146" t="str" cm="1">
        <f t="array" ref="I325">IFERROR((SUMIFS(TME[[#All],[Non-Claims: Pop Health and Practice Infrastructure Pmts]],TME[[#All],[Reporting Year]],2021,TME[[#All],[Insurance Category Code]],2))/ICC2_MemberMonths_2021,"NA")</f>
        <v>NA</v>
      </c>
      <c r="J325" s="143" t="str">
        <f>IFERROR(Table91114172840[[#This Row],[2021]]/Table91114172840[[#This Row],[2020]]-1,"NA")</f>
        <v>NA</v>
      </c>
      <c r="L325" s="64" t="s">
        <v>101</v>
      </c>
      <c r="M325" s="146" t="str" cm="1">
        <f t="array" ref="M325">IFERROR((SUMIFS(TME[[#All],[Non-Claims: Pop Health and Practice Infrastructure Pmts]],TME[[#All],[Reporting Year]],2020,TME[[#All],[Insurance Category Code]],6))/ICC6_MemberMonths_2020,"NA")</f>
        <v>NA</v>
      </c>
      <c r="N325" s="146" t="str" cm="1">
        <f t="array" ref="N325">IFERROR((SUMIFS(TME[[#All],[Non-Claims: Pop Health and Practice Infrastructure Pmts]],TME[[#All],[Reporting Year]],2021,TME[[#All],[Insurance Category Code]],6))/ICC6_MemberMonths_2021,"NA")</f>
        <v>NA</v>
      </c>
      <c r="O325" s="143" t="str">
        <f>IFERROR(Table9111215182941[[#This Row],[2021]]/Table9111215182941[[#This Row],[2020]]-1,"NA")</f>
        <v>NA</v>
      </c>
    </row>
    <row r="326" spans="2:15" x14ac:dyDescent="0.35">
      <c r="B326" s="64" t="s">
        <v>102</v>
      </c>
      <c r="C326" s="146" t="str">
        <f t="shared" si="12"/>
        <v>NA</v>
      </c>
      <c r="D326" s="146" t="str">
        <f t="shared" si="13"/>
        <v>NA</v>
      </c>
      <c r="E326" s="143" t="str">
        <f>IFERROR(Table913162739[[#This Row],[2021]]/Table913162739[[#This Row],[2020]]-1,"NA")</f>
        <v>NA</v>
      </c>
      <c r="G326" s="64" t="s">
        <v>102</v>
      </c>
      <c r="H326" s="146" t="str" cm="1">
        <f t="array" ref="H326">IFERROR((SUMIFS(TME[[#All],[Non-Claims: Provider Salaries]],TME[[#All],[Reporting Year]],2020,TME[[#All],[Insurance Category Code]],2))/ICC2_MemberMonths_2020,"NA")</f>
        <v>NA</v>
      </c>
      <c r="I326" s="146" t="str" cm="1">
        <f t="array" ref="I326">IFERROR((SUMIFS(TME[[#All],[Non-Claims: Provider Salaries]],TME[[#All],[Reporting Year]],2021,TME[[#All],[Insurance Category Code]],2))/ICC2_MemberMonths_2021,"NA")</f>
        <v>NA</v>
      </c>
      <c r="J326" s="143" t="str">
        <f>IFERROR(Table91114172840[[#This Row],[2021]]/Table91114172840[[#This Row],[2020]]-1,"NA")</f>
        <v>NA</v>
      </c>
      <c r="L326" s="64" t="s">
        <v>102</v>
      </c>
      <c r="M326" s="146" t="str" cm="1">
        <f t="array" ref="M326">IFERROR((SUMIFS(TME[[#All],[Non-Claims: Provider Salaries]],TME[[#All],[Reporting Year]],2020,TME[[#All],[Insurance Category Code]],6))/ICC6_MemberMonths_2020,"NA")</f>
        <v>NA</v>
      </c>
      <c r="N326" s="146" t="str" cm="1">
        <f t="array" ref="N326">IFERROR((SUMIFS(TME[[#All],[Non-Claims: Provider Salaries]],TME[[#All],[Reporting Year]],2021,TME[[#All],[Insurance Category Code]],6))/ICC6_MemberMonths_2021,"NA")</f>
        <v>NA</v>
      </c>
      <c r="O326" s="143" t="str">
        <f>IFERROR(Table9111215182941[[#This Row],[2021]]/Table9111215182941[[#This Row],[2020]]-1,"NA")</f>
        <v>NA</v>
      </c>
    </row>
    <row r="327" spans="2:15" x14ac:dyDescent="0.35">
      <c r="B327" s="64" t="s">
        <v>103</v>
      </c>
      <c r="C327" s="146" t="str">
        <f t="shared" si="12"/>
        <v>NA</v>
      </c>
      <c r="D327" s="146" t="str">
        <f t="shared" si="13"/>
        <v>NA</v>
      </c>
      <c r="E327" s="143" t="str">
        <f>IFERROR(Table913162739[[#This Row],[2021]]/Table913162739[[#This Row],[2020]]-1,"NA")</f>
        <v>NA</v>
      </c>
      <c r="G327" s="64" t="s">
        <v>103</v>
      </c>
      <c r="H327" s="146" t="str" cm="1">
        <f t="array" ref="H327">IFERROR((SUMIFS(TME[[#All],[Non-Claims: Recovery]],TME[[#All],[Reporting Year]],2020,TME[[#All],[Insurance Category Code]],2))/ICC2_MemberMonths_2020,"NA")</f>
        <v>NA</v>
      </c>
      <c r="I327" s="146" t="str" cm="1">
        <f t="array" ref="I327">IFERROR((SUMIFS(TME[[#All],[Non-Claims: Recovery]],TME[[#All],[Reporting Year]],2021,TME[[#All],[Insurance Category Code]],2))/ICC2_MemberMonths_2021,"NA")</f>
        <v>NA</v>
      </c>
      <c r="J327" s="143" t="str">
        <f>IFERROR(Table91114172840[[#This Row],[2021]]/Table91114172840[[#This Row],[2020]]-1,"NA")</f>
        <v>NA</v>
      </c>
      <c r="L327" s="64" t="s">
        <v>103</v>
      </c>
      <c r="M327" s="146" t="str" cm="1">
        <f t="array" ref="M327">IFERROR((SUMIFS(TME[[#All],[Non-Claims: Recovery]],TME[[#All],[Reporting Year]],2020,TME[[#All],[Insurance Category Code]],6))/ICC6_MemberMonths_2020,"NA")</f>
        <v>NA</v>
      </c>
      <c r="N327" s="146" t="str" cm="1">
        <f t="array" ref="N327">IFERROR((SUMIFS(TME[[#All],[Non-Claims: Recovery]],TME[[#All],[Reporting Year]],2021,TME[[#All],[Insurance Category Code]],6))/ICC6_MemberMonths_2021,"NA")</f>
        <v>NA</v>
      </c>
      <c r="O327" s="143" t="str">
        <f>IFERROR(Table9111215182941[[#This Row],[2021]]/Table9111215182941[[#This Row],[2020]]-1,"NA")</f>
        <v>NA</v>
      </c>
    </row>
    <row r="328" spans="2:15" x14ac:dyDescent="0.35">
      <c r="B328" s="64" t="s">
        <v>104</v>
      </c>
      <c r="C328" s="146" t="str">
        <f t="shared" si="12"/>
        <v>NA</v>
      </c>
      <c r="D328" s="146" t="str">
        <f t="shared" si="13"/>
        <v>NA</v>
      </c>
      <c r="E328" s="143" t="str">
        <f>IFERROR(Table913162739[[#This Row],[2021]]/Table913162739[[#This Row],[2020]]-1,"NA")</f>
        <v>NA</v>
      </c>
      <c r="G328" s="64" t="s">
        <v>104</v>
      </c>
      <c r="H328" s="146" t="str" cm="1">
        <f t="array" ref="H328">IFERROR((SUMIFS(TME[[#All],[Non-Claims: Other]],TME[[#All],[Reporting Year]],2020,TME[[#All],[Insurance Category Code]],2))/ICC2_MemberMonths_2020,"NA")</f>
        <v>NA</v>
      </c>
      <c r="I328" s="146" t="str" cm="1">
        <f t="array" ref="I328">IFERROR((SUMIFS(TME[[#All],[Non-Claims: Other]],TME[[#All],[Reporting Year]],2021,TME[[#All],[Insurance Category Code]],2))/ICC2_MemberMonths_2021,"NA")</f>
        <v>NA</v>
      </c>
      <c r="J328" s="143" t="str">
        <f>IFERROR(Table91114172840[[#This Row],[2021]]/Table91114172840[[#This Row],[2020]]-1,"NA")</f>
        <v>NA</v>
      </c>
      <c r="L328" s="64" t="s">
        <v>104</v>
      </c>
      <c r="M328" s="146" t="str" cm="1">
        <f t="array" ref="M328">IFERROR((SUMIFS(TME[[#All],[Non-Claims: Other]],TME[[#All],[Reporting Year]],2020,TME[[#All],[Insurance Category Code]],6))/ICC6_MemberMonths_2020,"NA")</f>
        <v>NA</v>
      </c>
      <c r="N328" s="146" t="str" cm="1">
        <f t="array" ref="N328">IFERROR((SUMIFS(TME[[#All],[Non-Claims: Other]],TME[[#All],[Reporting Year]],2021,TME[[#All],[Insurance Category Code]],6))/ICC6_MemberMonths_2021,"NA")</f>
        <v>NA</v>
      </c>
      <c r="O328" s="143" t="str">
        <f>IFERROR(Table9111215182941[[#This Row],[2021]]/Table9111215182941[[#This Row],[2020]]-1,"NA")</f>
        <v>NA</v>
      </c>
    </row>
    <row r="329" spans="2:15" x14ac:dyDescent="0.35">
      <c r="B329" s="64" t="s">
        <v>266</v>
      </c>
      <c r="C329" s="146" t="str">
        <f t="shared" si="12"/>
        <v>NA</v>
      </c>
      <c r="D329" s="146" t="str">
        <f t="shared" si="13"/>
        <v>NA</v>
      </c>
      <c r="E329" s="143" t="str">
        <f>IFERROR(Table913162739[[#This Row],[2021]]/Table913162739[[#This Row],[2020]]-1,"NA")</f>
        <v>NA</v>
      </c>
      <c r="G329" s="64" t="s">
        <v>266</v>
      </c>
      <c r="H329" s="146" t="str" cm="1">
        <f t="array" ref="H329">IFERROR((SUMIFS(TME[[#All],[Non-Claims: Total Primary Care Non-Claims-Based Payments]],TME[[#All],[Reporting Year]],2020,TME[[#All],[Insurance Category Code]],2))/ICC2_MemberMonths_2020,"NA")</f>
        <v>NA</v>
      </c>
      <c r="I329" s="146" t="str" cm="1">
        <f t="array" ref="I329">IFERROR((SUMIFS(TME[[#All],[Non-Claims: Total Primary Care Non-Claims-Based Payments]],TME[[#All],[Reporting Year]],2021,TME[[#All],[Insurance Category Code]],2))/ICC2_MemberMonths_2021,"NA")</f>
        <v>NA</v>
      </c>
      <c r="J329" s="143" t="str">
        <f>IFERROR(Table91114172840[[#This Row],[2021]]/Table91114172840[[#This Row],[2020]]-1,"NA")</f>
        <v>NA</v>
      </c>
      <c r="L329" s="64" t="s">
        <v>266</v>
      </c>
      <c r="M329" s="146" t="str" cm="1">
        <f t="array" ref="M329">IFERROR((SUMIFS(TME[[#All],[Non-Claims: Total Primary Care Non-Claims-Based Payments]],TME[[#All],[Reporting Year]],2020,TME[[#All],[Insurance Category Code]],6))/ICC6_MemberMonths_2020,"NA")</f>
        <v>NA</v>
      </c>
      <c r="N329" s="146" t="str" cm="1">
        <f t="array" ref="N329">IFERROR((SUMIFS(TME[[#All],[Non-Claims: Total Primary Care Non-Claims-Based Payments]],TME[[#All],[Reporting Year]],2021,TME[[#All],[Insurance Category Code]],6))/ICC6_MemberMonths_2021,"NA")</f>
        <v>NA</v>
      </c>
      <c r="O329" s="143" t="str">
        <f>IFERROR(Table9111215182941[[#This Row],[2021]]/Table9111215182941[[#This Row],[2020]]-1,"NA")</f>
        <v>NA</v>
      </c>
    </row>
    <row r="330" spans="2:15" x14ac:dyDescent="0.35">
      <c r="B330" s="83" t="s">
        <v>232</v>
      </c>
      <c r="C330" s="147" t="str">
        <f t="shared" si="12"/>
        <v>NA</v>
      </c>
      <c r="D330" s="147" t="str">
        <f t="shared" si="13"/>
        <v>NA</v>
      </c>
      <c r="E330" s="143" t="str">
        <f>IFERROR(Table913162739[[#This Row],[2021]]/Table913162739[[#This Row],[2020]]-1,"NA")</f>
        <v>NA</v>
      </c>
      <c r="G330" s="83" t="s">
        <v>232</v>
      </c>
      <c r="H330" s="147" t="str" cm="1">
        <f t="array" ref="H330">IFERROR((SUMIFS(TME[[#All],[Total Non-Claims Spending]],TME[[#All],[Reporting Year]],2020,TME[[#All],[Insurance Category Code]],2))/ICC2_MemberMonths_2020,"NA")</f>
        <v>NA</v>
      </c>
      <c r="I330" s="147" t="str" cm="1">
        <f t="array" ref="I330">IFERROR((SUMIFS(TME[[#All],[Total Non-Claims Spending]],TME[[#All],[Reporting Year]],2021,TME[[#All],[Insurance Category Code]],2))/ICC2_MemberMonths_2021,"NA")</f>
        <v>NA</v>
      </c>
      <c r="J330" s="143" t="str">
        <f>IFERROR(Table91114172840[[#This Row],[2021]]/Table91114172840[[#This Row],[2020]]-1,"NA")</f>
        <v>NA</v>
      </c>
      <c r="L330" s="83" t="s">
        <v>232</v>
      </c>
      <c r="M330" s="147" t="str" cm="1">
        <f t="array" ref="M330">IFERROR((SUMIFS(TME[[#All],[Total Non-Claims Spending]],TME[[#All],[Reporting Year]],2020,TME[[#All],[Insurance Category Code]],6))/ICC6_MemberMonths_2020,"NA")</f>
        <v>NA</v>
      </c>
      <c r="N330" s="147" t="str" cm="1">
        <f t="array" ref="N330">IFERROR((SUMIFS(TME[[#All],[Total Non-Claims Spending]],TME[[#All],[Reporting Year]],2021,TME[[#All],[Insurance Category Code]],6))/ICC6_MemberMonths_2021,"NA")</f>
        <v>NA</v>
      </c>
      <c r="O330" s="143" t="str">
        <f>IFERROR(Table9111215182941[[#This Row],[2021]]/Table9111215182941[[#This Row],[2020]]-1,"NA")</f>
        <v>NA</v>
      </c>
    </row>
    <row r="331" spans="2:15" x14ac:dyDescent="0.35">
      <c r="B331" s="84" t="s">
        <v>233</v>
      </c>
      <c r="C331" s="148" t="str">
        <f t="shared" si="12"/>
        <v>NA</v>
      </c>
      <c r="D331" s="148" t="str">
        <f t="shared" si="13"/>
        <v>NA</v>
      </c>
      <c r="E331" s="145" t="str">
        <f>IFERROR(Table913162739[[#This Row],[2021]]/Table913162739[[#This Row],[2020]]-1,"NA")</f>
        <v>NA</v>
      </c>
      <c r="G331" s="84" t="s">
        <v>233</v>
      </c>
      <c r="H331" s="148" t="str" cm="1">
        <f t="array" ref="H331">IFERROR((SUMIFS(TME[[#All],[Total Non-Truncated Claims and Non-Claims Spending]],TME[[#All],[Reporting Year]],2020,TME[[#All],[Insurance Category Code]],2))/ICC2_MemberMonths_2020,"NA")</f>
        <v>NA</v>
      </c>
      <c r="I331" s="148" t="str" cm="1">
        <f t="array" ref="I331">IFERROR((SUMIFS(TME[[#All],[Total Non-Truncated Claims and Non-Claims Spending]],TME[[#All],[Reporting Year]],2021,TME[[#All],[Insurance Category Code]],2))/ICC2_MemberMonths_2021,"NA")</f>
        <v>NA</v>
      </c>
      <c r="J331" s="145" t="str">
        <f>IFERROR(Table91114172840[[#This Row],[2021]]/Table91114172840[[#This Row],[2020]]-1,"NA")</f>
        <v>NA</v>
      </c>
      <c r="L331" s="84" t="s">
        <v>233</v>
      </c>
      <c r="M331" s="148" t="str" cm="1">
        <f t="array" ref="M331">IFERROR((SUMIFS(TME[[#All],[Total Non-Truncated Claims and Non-Claims Spending]],TME[[#All],[Reporting Year]],2020,TME[[#All],[Insurance Category Code]],6))/ICC6_MemberMonths_2020,"NA")</f>
        <v>NA</v>
      </c>
      <c r="N331" s="148" t="str" cm="1">
        <f t="array" ref="N331">IFERROR((SUMIFS(TME[[#All],[Total Non-Truncated Claims and Non-Claims Spending]],TME[[#All],[Reporting Year]],2021,TME[[#All],[Insurance Category Code]],6))/ICC6_MemberMonths_2021,"NA")</f>
        <v>NA</v>
      </c>
      <c r="O331" s="145" t="str">
        <f>IFERROR(Table9111215182941[[#This Row],[2021]]/Table9111215182941[[#This Row],[2020]]-1,"NA")</f>
        <v>NA</v>
      </c>
    </row>
    <row r="332" spans="2:15" x14ac:dyDescent="0.35">
      <c r="B332" s="85" t="s">
        <v>234</v>
      </c>
      <c r="C332" s="148" t="str">
        <f t="shared" si="12"/>
        <v>NA</v>
      </c>
      <c r="D332" s="148" t="str">
        <f t="shared" si="13"/>
        <v>NA</v>
      </c>
      <c r="E332" s="145" t="str">
        <f>IFERROR(Table913162739[[#This Row],[2021]]/Table913162739[[#This Row],[2020]]-1,"NA")</f>
        <v>NA</v>
      </c>
      <c r="G332" s="85" t="s">
        <v>234</v>
      </c>
      <c r="H332" s="148" t="str" cm="1">
        <f t="array" ref="H332">IFERROR((SUMIFS(TME[[#All],[Truncated Total Expenses (Total Truncated Claims Expenses + Non-Claims Expenses)]],TME[[#All],[Reporting Year]],2020,TME[[#All],[Insurance Category Code]],2))/ICC2_MemberMonths_2020,"NA")</f>
        <v>NA</v>
      </c>
      <c r="I332" s="148" t="str" cm="1">
        <f t="array" ref="I332">IFERROR((SUMIFS(TME[[#All],[Truncated Total Expenses (Total Truncated Claims Expenses + Non-Claims Expenses)]],TME[[#All],[Reporting Year]],2021,TME[[#All],[Insurance Category Code]],2))/ICC2_MemberMonths_2021,"NA")</f>
        <v>NA</v>
      </c>
      <c r="J332" s="145" t="str">
        <f>IFERROR(Table91114172840[[#This Row],[2021]]/Table91114172840[[#This Row],[2020]]-1,"NA")</f>
        <v>NA</v>
      </c>
      <c r="L332" s="85" t="s">
        <v>234</v>
      </c>
      <c r="M332" s="148" t="str" cm="1">
        <f t="array" ref="M332">IFERROR((SUMIFS(TME[[#All],[Truncated Total Expenses (Total Truncated Claims Expenses + Non-Claims Expenses)]],TME[[#All],[Reporting Year]],2020,TME[[#All],[Insurance Category Code]],6))/ICC6_MemberMonths_2020,"NA")</f>
        <v>NA</v>
      </c>
      <c r="N332" s="148" t="str" cm="1">
        <f t="array" ref="N332">IFERROR((SUMIFS(TME[[#All],[Truncated Total Expenses (Total Truncated Claims Expenses + Non-Claims Expenses)]],TME[[#All],[Reporting Year]],2021,TME[[#All],[Insurance Category Code]],6))/ICC6_MemberMonths_2021,"NA")</f>
        <v>NA</v>
      </c>
      <c r="O332" s="145" t="str">
        <f>IFERROR(Table9111215182941[[#This Row],[2021]]/Table9111215182941[[#This Row],[2020]]-1,"NA")</f>
        <v>NA</v>
      </c>
    </row>
    <row r="333" spans="2:15" x14ac:dyDescent="0.35">
      <c r="B333" s="71"/>
      <c r="G333" s="71"/>
    </row>
  </sheetData>
  <mergeCells count="1">
    <mergeCell ref="B3:Q3"/>
  </mergeCells>
  <conditionalFormatting sqref="E22:E31">
    <cfRule type="cellIs" dxfId="467" priority="210" operator="lessThan">
      <formula>-0.05</formula>
    </cfRule>
    <cfRule type="cellIs" dxfId="466" priority="213" operator="greaterThan">
      <formula>0.05</formula>
    </cfRule>
  </conditionalFormatting>
  <conditionalFormatting sqref="J22:J31">
    <cfRule type="cellIs" dxfId="465" priority="211" operator="lessThan">
      <formula>-0.05</formula>
    </cfRule>
    <cfRule type="cellIs" dxfId="464" priority="212" operator="greaterThan">
      <formula>0.05</formula>
    </cfRule>
  </conditionalFormatting>
  <conditionalFormatting sqref="E36:E46">
    <cfRule type="cellIs" dxfId="463" priority="208" operator="lessThan">
      <formula>-0.1</formula>
    </cfRule>
    <cfRule type="cellIs" dxfId="462" priority="209" operator="greaterThan">
      <formula>0.1</formula>
    </cfRule>
  </conditionalFormatting>
  <conditionalFormatting sqref="E50:E56">
    <cfRule type="cellIs" dxfId="461" priority="206" operator="lessThan">
      <formula>-0.1</formula>
    </cfRule>
    <cfRule type="cellIs" dxfId="460" priority="207" operator="greaterThan">
      <formula>0.1</formula>
    </cfRule>
  </conditionalFormatting>
  <conditionalFormatting sqref="J36:J46">
    <cfRule type="cellIs" dxfId="459" priority="204" operator="lessThan">
      <formula>-0.1</formula>
    </cfRule>
    <cfRule type="cellIs" dxfId="458" priority="205" operator="greaterThan">
      <formula>0.1</formula>
    </cfRule>
  </conditionalFormatting>
  <conditionalFormatting sqref="J50:J56">
    <cfRule type="cellIs" dxfId="457" priority="202" operator="lessThan">
      <formula>-0.1</formula>
    </cfRule>
    <cfRule type="cellIs" dxfId="456" priority="203" operator="greaterThan">
      <formula>0.1</formula>
    </cfRule>
  </conditionalFormatting>
  <conditionalFormatting sqref="O36:O46">
    <cfRule type="cellIs" dxfId="455" priority="200" operator="lessThan">
      <formula>-0.1</formula>
    </cfRule>
    <cfRule type="cellIs" dxfId="454" priority="201" operator="greaterThan">
      <formula>0.1</formula>
    </cfRule>
  </conditionalFormatting>
  <conditionalFormatting sqref="O50:O56">
    <cfRule type="cellIs" dxfId="453" priority="198" operator="lessThan">
      <formula>-0.1</formula>
    </cfRule>
    <cfRule type="cellIs" dxfId="452" priority="199" operator="greaterThan">
      <formula>0.1</formula>
    </cfRule>
  </conditionalFormatting>
  <conditionalFormatting sqref="E63:E73">
    <cfRule type="cellIs" dxfId="451" priority="196" operator="lessThan">
      <formula>-0.1</formula>
    </cfRule>
    <cfRule type="cellIs" dxfId="450" priority="197" operator="greaterThan">
      <formula>0.1</formula>
    </cfRule>
  </conditionalFormatting>
  <conditionalFormatting sqref="E77:E83">
    <cfRule type="cellIs" dxfId="449" priority="194" operator="lessThan">
      <formula>-0.1</formula>
    </cfRule>
    <cfRule type="cellIs" dxfId="448" priority="195" operator="greaterThan">
      <formula>0.1</formula>
    </cfRule>
  </conditionalFormatting>
  <conditionalFormatting sqref="J63:J73">
    <cfRule type="cellIs" dxfId="447" priority="192" operator="lessThan">
      <formula>-0.1</formula>
    </cfRule>
    <cfRule type="cellIs" dxfId="446" priority="193" operator="greaterThan">
      <formula>0.1</formula>
    </cfRule>
  </conditionalFormatting>
  <conditionalFormatting sqref="J77:J83">
    <cfRule type="cellIs" dxfId="445" priority="190" operator="lessThan">
      <formula>-0.1</formula>
    </cfRule>
    <cfRule type="cellIs" dxfId="444" priority="191" operator="greaterThan">
      <formula>0.1</formula>
    </cfRule>
  </conditionalFormatting>
  <conditionalFormatting sqref="O63:O73">
    <cfRule type="cellIs" dxfId="443" priority="188" operator="lessThan">
      <formula>-0.1</formula>
    </cfRule>
    <cfRule type="cellIs" dxfId="442" priority="189" operator="greaterThan">
      <formula>0.1</formula>
    </cfRule>
  </conditionalFormatting>
  <conditionalFormatting sqref="O77:O83">
    <cfRule type="cellIs" dxfId="441" priority="186" operator="lessThan">
      <formula>-0.1</formula>
    </cfRule>
    <cfRule type="cellIs" dxfId="440" priority="187" operator="greaterThan">
      <formula>0.1</formula>
    </cfRule>
  </conditionalFormatting>
  <conditionalFormatting sqref="E90:E100">
    <cfRule type="cellIs" dxfId="439" priority="184" operator="lessThan">
      <formula>-0.1</formula>
    </cfRule>
    <cfRule type="cellIs" dxfId="438" priority="185" operator="greaterThan">
      <formula>0.1</formula>
    </cfRule>
  </conditionalFormatting>
  <conditionalFormatting sqref="E104:E110">
    <cfRule type="cellIs" dxfId="437" priority="182" operator="lessThan">
      <formula>-0.1</formula>
    </cfRule>
    <cfRule type="cellIs" dxfId="436" priority="183" operator="greaterThan">
      <formula>0.1</formula>
    </cfRule>
  </conditionalFormatting>
  <conditionalFormatting sqref="J90:J100">
    <cfRule type="cellIs" dxfId="435" priority="180" operator="lessThan">
      <formula>-0.1</formula>
    </cfRule>
    <cfRule type="cellIs" dxfId="434" priority="181" operator="greaterThan">
      <formula>0.1</formula>
    </cfRule>
  </conditionalFormatting>
  <conditionalFormatting sqref="J104:J110">
    <cfRule type="cellIs" dxfId="433" priority="178" operator="lessThan">
      <formula>-0.1</formula>
    </cfRule>
    <cfRule type="cellIs" dxfId="432" priority="179" operator="greaterThan">
      <formula>0.1</formula>
    </cfRule>
  </conditionalFormatting>
  <conditionalFormatting sqref="O90:O100">
    <cfRule type="cellIs" dxfId="431" priority="176" operator="lessThan">
      <formula>-0.1</formula>
    </cfRule>
    <cfRule type="cellIs" dxfId="430" priority="177" operator="greaterThan">
      <formula>0.1</formula>
    </cfRule>
  </conditionalFormatting>
  <conditionalFormatting sqref="O104:O110">
    <cfRule type="cellIs" dxfId="429" priority="174" operator="lessThan">
      <formula>-0.1</formula>
    </cfRule>
    <cfRule type="cellIs" dxfId="428" priority="175" operator="greaterThan">
      <formula>0.1</formula>
    </cfRule>
  </conditionalFormatting>
  <conditionalFormatting sqref="E8:E17">
    <cfRule type="cellIs" dxfId="427" priority="92" operator="lessThan">
      <formula>-0.1</formula>
    </cfRule>
    <cfRule type="cellIs" dxfId="426" priority="93" operator="greaterThan">
      <formula>0.1</formula>
    </cfRule>
  </conditionalFormatting>
  <conditionalFormatting sqref="A1:XFD115 A335:XFD1048576">
    <cfRule type="cellIs" priority="87" stopIfTrue="1" operator="equal">
      <formula>"NA"</formula>
    </cfRule>
  </conditionalFormatting>
  <conditionalFormatting sqref="E132:E141">
    <cfRule type="cellIs" dxfId="425" priority="83" operator="lessThan">
      <formula>-0.05</formula>
    </cfRule>
    <cfRule type="cellIs" dxfId="424" priority="86" operator="greaterThan">
      <formula>0.05</formula>
    </cfRule>
  </conditionalFormatting>
  <conditionalFormatting sqref="J132:J141">
    <cfRule type="cellIs" dxfId="423" priority="84" operator="lessThan">
      <formula>-0.05</formula>
    </cfRule>
    <cfRule type="cellIs" dxfId="422" priority="85" operator="greaterThan">
      <formula>0.05</formula>
    </cfRule>
  </conditionalFormatting>
  <conditionalFormatting sqref="E146:E156">
    <cfRule type="cellIs" dxfId="421" priority="81" operator="lessThan">
      <formula>-0.1</formula>
    </cfRule>
    <cfRule type="cellIs" dxfId="420" priority="82" operator="greaterThan">
      <formula>0.1</formula>
    </cfRule>
  </conditionalFormatting>
  <conditionalFormatting sqref="E160:E166">
    <cfRule type="cellIs" dxfId="419" priority="79" operator="lessThan">
      <formula>-0.1</formula>
    </cfRule>
    <cfRule type="cellIs" dxfId="418" priority="80" operator="greaterThan">
      <formula>0.1</formula>
    </cfRule>
  </conditionalFormatting>
  <conditionalFormatting sqref="J146:J156">
    <cfRule type="cellIs" dxfId="417" priority="77" operator="lessThan">
      <formula>-0.1</formula>
    </cfRule>
    <cfRule type="cellIs" dxfId="416" priority="78" operator="greaterThan">
      <formula>0.1</formula>
    </cfRule>
  </conditionalFormatting>
  <conditionalFormatting sqref="J160:J166">
    <cfRule type="cellIs" dxfId="415" priority="75" operator="lessThan">
      <formula>-0.1</formula>
    </cfRule>
    <cfRule type="cellIs" dxfId="414" priority="76" operator="greaterThan">
      <formula>0.1</formula>
    </cfRule>
  </conditionalFormatting>
  <conditionalFormatting sqref="O146:O156">
    <cfRule type="cellIs" dxfId="413" priority="73" operator="lessThan">
      <formula>-0.1</formula>
    </cfRule>
    <cfRule type="cellIs" dxfId="412" priority="74" operator="greaterThan">
      <formula>0.1</formula>
    </cfRule>
  </conditionalFormatting>
  <conditionalFormatting sqref="O160:O166">
    <cfRule type="cellIs" dxfId="411" priority="71" operator="lessThan">
      <formula>-0.1</formula>
    </cfRule>
    <cfRule type="cellIs" dxfId="410" priority="72" operator="greaterThan">
      <formula>0.1</formula>
    </cfRule>
  </conditionalFormatting>
  <conditionalFormatting sqref="E173:E183">
    <cfRule type="cellIs" dxfId="409" priority="69" operator="lessThan">
      <formula>-0.1</formula>
    </cfRule>
    <cfRule type="cellIs" dxfId="408" priority="70" operator="greaterThan">
      <formula>0.1</formula>
    </cfRule>
  </conditionalFormatting>
  <conditionalFormatting sqref="E187:E193">
    <cfRule type="cellIs" dxfId="407" priority="67" operator="lessThan">
      <formula>-0.1</formula>
    </cfRule>
    <cfRule type="cellIs" dxfId="406" priority="68" operator="greaterThan">
      <formula>0.1</formula>
    </cfRule>
  </conditionalFormatting>
  <conditionalFormatting sqref="J173:J183">
    <cfRule type="cellIs" dxfId="405" priority="65" operator="lessThan">
      <formula>-0.1</formula>
    </cfRule>
    <cfRule type="cellIs" dxfId="404" priority="66" operator="greaterThan">
      <formula>0.1</formula>
    </cfRule>
  </conditionalFormatting>
  <conditionalFormatting sqref="J187:J193">
    <cfRule type="cellIs" dxfId="403" priority="63" operator="lessThan">
      <formula>-0.1</formula>
    </cfRule>
    <cfRule type="cellIs" dxfId="402" priority="64" operator="greaterThan">
      <formula>0.1</formula>
    </cfRule>
  </conditionalFormatting>
  <conditionalFormatting sqref="O173:O183">
    <cfRule type="cellIs" dxfId="401" priority="61" operator="lessThan">
      <formula>-0.1</formula>
    </cfRule>
    <cfRule type="cellIs" dxfId="400" priority="62" operator="greaterThan">
      <formula>0.1</formula>
    </cfRule>
  </conditionalFormatting>
  <conditionalFormatting sqref="O187:O193">
    <cfRule type="cellIs" dxfId="399" priority="59" operator="lessThan">
      <formula>-0.1</formula>
    </cfRule>
    <cfRule type="cellIs" dxfId="398" priority="60" operator="greaterThan">
      <formula>0.1</formula>
    </cfRule>
  </conditionalFormatting>
  <conditionalFormatting sqref="E200:E210">
    <cfRule type="cellIs" dxfId="397" priority="57" operator="lessThan">
      <formula>-0.1</formula>
    </cfRule>
    <cfRule type="cellIs" dxfId="396" priority="58" operator="greaterThan">
      <formula>0.1</formula>
    </cfRule>
  </conditionalFormatting>
  <conditionalFormatting sqref="E214:E220">
    <cfRule type="cellIs" dxfId="395" priority="55" operator="lessThan">
      <formula>-0.1</formula>
    </cfRule>
    <cfRule type="cellIs" dxfId="394" priority="56" operator="greaterThan">
      <formula>0.1</formula>
    </cfRule>
  </conditionalFormatting>
  <conditionalFormatting sqref="J200:J210">
    <cfRule type="cellIs" dxfId="393" priority="53" operator="lessThan">
      <formula>-0.1</formula>
    </cfRule>
    <cfRule type="cellIs" dxfId="392" priority="54" operator="greaterThan">
      <formula>0.1</formula>
    </cfRule>
  </conditionalFormatting>
  <conditionalFormatting sqref="J214:J220">
    <cfRule type="cellIs" dxfId="391" priority="51" operator="lessThan">
      <formula>-0.1</formula>
    </cfRule>
    <cfRule type="cellIs" dxfId="390" priority="52" operator="greaterThan">
      <formula>0.1</formula>
    </cfRule>
  </conditionalFormatting>
  <conditionalFormatting sqref="O200:O210">
    <cfRule type="cellIs" dxfId="389" priority="49" operator="lessThan">
      <formula>-0.1</formula>
    </cfRule>
    <cfRule type="cellIs" dxfId="388" priority="50" operator="greaterThan">
      <formula>0.1</formula>
    </cfRule>
  </conditionalFormatting>
  <conditionalFormatting sqref="O214:O220">
    <cfRule type="cellIs" dxfId="387" priority="47" operator="lessThan">
      <formula>-0.1</formula>
    </cfRule>
    <cfRule type="cellIs" dxfId="386" priority="48" operator="greaterThan">
      <formula>0.1</formula>
    </cfRule>
  </conditionalFormatting>
  <conditionalFormatting sqref="E118:E127">
    <cfRule type="cellIs" dxfId="385" priority="45" operator="lessThan">
      <formula>-0.1</formula>
    </cfRule>
    <cfRule type="cellIs" dxfId="384" priority="46" operator="greaterThan">
      <formula>0.1</formula>
    </cfRule>
  </conditionalFormatting>
  <conditionalFormatting sqref="A116:XFD222">
    <cfRule type="cellIs" priority="44" stopIfTrue="1" operator="equal">
      <formula>"NA"</formula>
    </cfRule>
  </conditionalFormatting>
  <conditionalFormatting sqref="E242:E251">
    <cfRule type="cellIs" dxfId="383" priority="40" operator="lessThan">
      <formula>-0.05</formula>
    </cfRule>
    <cfRule type="cellIs" dxfId="382" priority="43" operator="greaterThan">
      <formula>0.05</formula>
    </cfRule>
  </conditionalFormatting>
  <conditionalFormatting sqref="J242:J251">
    <cfRule type="cellIs" dxfId="381" priority="41" operator="lessThan">
      <formula>-0.05</formula>
    </cfRule>
    <cfRule type="cellIs" dxfId="380" priority="42" operator="greaterThan">
      <formula>0.05</formula>
    </cfRule>
  </conditionalFormatting>
  <conditionalFormatting sqref="E256:E266">
    <cfRule type="cellIs" dxfId="379" priority="38" operator="lessThan">
      <formula>-0.1</formula>
    </cfRule>
    <cfRule type="cellIs" dxfId="378" priority="39" operator="greaterThan">
      <formula>0.1</formula>
    </cfRule>
  </conditionalFormatting>
  <conditionalFormatting sqref="E270:E276">
    <cfRule type="cellIs" dxfId="377" priority="36" operator="lessThan">
      <formula>-0.1</formula>
    </cfRule>
    <cfRule type="cellIs" dxfId="376" priority="37" operator="greaterThan">
      <formula>0.1</formula>
    </cfRule>
  </conditionalFormatting>
  <conditionalFormatting sqref="J256:J266">
    <cfRule type="cellIs" dxfId="375" priority="34" operator="lessThan">
      <formula>-0.1</formula>
    </cfRule>
    <cfRule type="cellIs" dxfId="374" priority="35" operator="greaterThan">
      <formula>0.1</formula>
    </cfRule>
  </conditionalFormatting>
  <conditionalFormatting sqref="J270:J276">
    <cfRule type="cellIs" dxfId="373" priority="32" operator="lessThan">
      <formula>-0.1</formula>
    </cfRule>
    <cfRule type="cellIs" dxfId="372" priority="33" operator="greaterThan">
      <formula>0.1</formula>
    </cfRule>
  </conditionalFormatting>
  <conditionalFormatting sqref="O256:O266">
    <cfRule type="cellIs" dxfId="371" priority="30" operator="lessThan">
      <formula>-0.1</formula>
    </cfRule>
    <cfRule type="cellIs" dxfId="370" priority="31" operator="greaterThan">
      <formula>0.1</formula>
    </cfRule>
  </conditionalFormatting>
  <conditionalFormatting sqref="O270:O276">
    <cfRule type="cellIs" dxfId="369" priority="28" operator="lessThan">
      <formula>-0.1</formula>
    </cfRule>
    <cfRule type="cellIs" dxfId="368" priority="29" operator="greaterThan">
      <formula>0.1</formula>
    </cfRule>
  </conditionalFormatting>
  <conditionalFormatting sqref="E283:E293">
    <cfRule type="cellIs" dxfId="367" priority="26" operator="lessThan">
      <formula>-0.1</formula>
    </cfRule>
    <cfRule type="cellIs" dxfId="366" priority="27" operator="greaterThan">
      <formula>0.1</formula>
    </cfRule>
  </conditionalFormatting>
  <conditionalFormatting sqref="E297:E303">
    <cfRule type="cellIs" dxfId="365" priority="24" operator="lessThan">
      <formula>-0.1</formula>
    </cfRule>
    <cfRule type="cellIs" dxfId="364" priority="25" operator="greaterThan">
      <formula>0.1</formula>
    </cfRule>
  </conditionalFormatting>
  <conditionalFormatting sqref="J283:J293">
    <cfRule type="cellIs" dxfId="363" priority="22" operator="lessThan">
      <formula>-0.1</formula>
    </cfRule>
    <cfRule type="cellIs" dxfId="362" priority="23" operator="greaterThan">
      <formula>0.1</formula>
    </cfRule>
  </conditionalFormatting>
  <conditionalFormatting sqref="J297:J303">
    <cfRule type="cellIs" dxfId="361" priority="20" operator="lessThan">
      <formula>-0.1</formula>
    </cfRule>
    <cfRule type="cellIs" dxfId="360" priority="21" operator="greaterThan">
      <formula>0.1</formula>
    </cfRule>
  </conditionalFormatting>
  <conditionalFormatting sqref="O283:O293">
    <cfRule type="cellIs" dxfId="359" priority="18" operator="lessThan">
      <formula>-0.1</formula>
    </cfRule>
    <cfRule type="cellIs" dxfId="358" priority="19" operator="greaterThan">
      <formula>0.1</formula>
    </cfRule>
  </conditionalFormatting>
  <conditionalFormatting sqref="O297:O303">
    <cfRule type="cellIs" dxfId="357" priority="16" operator="lessThan">
      <formula>-0.1</formula>
    </cfRule>
    <cfRule type="cellIs" dxfId="356" priority="17" operator="greaterThan">
      <formula>0.1</formula>
    </cfRule>
  </conditionalFormatting>
  <conditionalFormatting sqref="E310:E320">
    <cfRule type="cellIs" dxfId="355" priority="14" operator="lessThan">
      <formula>-0.1</formula>
    </cfRule>
    <cfRule type="cellIs" dxfId="354" priority="15" operator="greaterThan">
      <formula>0.1</formula>
    </cfRule>
  </conditionalFormatting>
  <conditionalFormatting sqref="E324:E330">
    <cfRule type="cellIs" dxfId="353" priority="12" operator="lessThan">
      <formula>-0.1</formula>
    </cfRule>
    <cfRule type="cellIs" dxfId="352" priority="13" operator="greaterThan">
      <formula>0.1</formula>
    </cfRule>
  </conditionalFormatting>
  <conditionalFormatting sqref="J310:J320">
    <cfRule type="cellIs" dxfId="351" priority="10" operator="lessThan">
      <formula>-0.1</formula>
    </cfRule>
    <cfRule type="cellIs" dxfId="350" priority="11" operator="greaterThan">
      <formula>0.1</formula>
    </cfRule>
  </conditionalFormatting>
  <conditionalFormatting sqref="J324:J330">
    <cfRule type="cellIs" dxfId="349" priority="8" operator="lessThan">
      <formula>-0.1</formula>
    </cfRule>
    <cfRule type="cellIs" dxfId="348" priority="9" operator="greaterThan">
      <formula>0.1</formula>
    </cfRule>
  </conditionalFormatting>
  <conditionalFormatting sqref="O310:O320">
    <cfRule type="cellIs" dxfId="347" priority="6" operator="lessThan">
      <formula>-0.1</formula>
    </cfRule>
    <cfRule type="cellIs" dxfId="346" priority="7" operator="greaterThan">
      <formula>0.1</formula>
    </cfRule>
  </conditionalFormatting>
  <conditionalFormatting sqref="O324:O330">
    <cfRule type="cellIs" dxfId="345" priority="4" operator="lessThan">
      <formula>-0.1</formula>
    </cfRule>
    <cfRule type="cellIs" dxfId="344" priority="5" operator="greaterThan">
      <formula>0.1</formula>
    </cfRule>
  </conditionalFormatting>
  <conditionalFormatting sqref="E228:E237">
    <cfRule type="cellIs" dxfId="343" priority="2" operator="lessThan">
      <formula>-0.1</formula>
    </cfRule>
    <cfRule type="cellIs" dxfId="342" priority="3" operator="greaterThan">
      <formula>0.1</formula>
    </cfRule>
  </conditionalFormatting>
  <conditionalFormatting sqref="A226:XFD332">
    <cfRule type="cellIs" priority="1" stopIfTrue="1" operator="equal">
      <formula>"NA"</formula>
    </cfRule>
  </conditionalFormatting>
  <pageMargins left="0.7" right="0.7" top="0.75" bottom="0.75" header="0.3" footer="0.3"/>
  <tableParts count="36">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D99CE-AC95-453B-AC01-DA2DC3BD4CC5}">
  <dimension ref="B2:BK173"/>
  <sheetViews>
    <sheetView zoomScale="145" zoomScaleNormal="145" workbookViewId="0">
      <selection activeCell="B3" sqref="B3:U3"/>
    </sheetView>
  </sheetViews>
  <sheetFormatPr defaultRowHeight="14.5" x14ac:dyDescent="0.35"/>
  <cols>
    <col min="2" max="2" width="11.26953125" customWidth="1"/>
    <col min="3" max="3" width="39.26953125" bestFit="1" customWidth="1"/>
    <col min="4" max="21" width="16.54296875" customWidth="1"/>
    <col min="24" max="24" width="33.26953125" bestFit="1" customWidth="1"/>
    <col min="25" max="42" width="18" customWidth="1"/>
    <col min="45" max="45" width="33.26953125" bestFit="1" customWidth="1"/>
    <col min="46" max="63" width="16.54296875" customWidth="1"/>
  </cols>
  <sheetData>
    <row r="2" spans="2:63" ht="18.5" x14ac:dyDescent="0.45">
      <c r="B2" s="81" t="s">
        <v>19</v>
      </c>
    </row>
    <row r="3" spans="2:63" ht="60" customHeight="1" x14ac:dyDescent="0.35">
      <c r="B3" s="214" t="s">
        <v>299</v>
      </c>
      <c r="C3" s="214"/>
      <c r="D3" s="214"/>
      <c r="E3" s="214"/>
      <c r="F3" s="214"/>
      <c r="G3" s="214"/>
      <c r="H3" s="214"/>
      <c r="I3" s="214"/>
      <c r="J3" s="214"/>
      <c r="K3" s="214"/>
      <c r="L3" s="214"/>
      <c r="M3" s="214"/>
      <c r="N3" s="214"/>
      <c r="O3" s="214"/>
      <c r="P3" s="214"/>
      <c r="Q3" s="214"/>
      <c r="R3" s="214"/>
      <c r="S3" s="214"/>
      <c r="T3" s="214"/>
      <c r="U3" s="214"/>
    </row>
    <row r="4" spans="2:63" x14ac:dyDescent="0.35">
      <c r="B4" s="71" t="s">
        <v>332</v>
      </c>
      <c r="W4" s="71" t="s">
        <v>333</v>
      </c>
      <c r="AR4" s="71" t="s">
        <v>334</v>
      </c>
    </row>
    <row r="5" spans="2:63" x14ac:dyDescent="0.35">
      <c r="B5" s="70" t="s">
        <v>307</v>
      </c>
      <c r="W5" s="70" t="s">
        <v>307</v>
      </c>
      <c r="AR5" s="70" t="s">
        <v>307</v>
      </c>
    </row>
    <row r="6" spans="2:63" x14ac:dyDescent="0.35">
      <c r="B6" s="223" t="s">
        <v>300</v>
      </c>
      <c r="C6" s="225"/>
      <c r="D6" s="223">
        <v>2018</v>
      </c>
      <c r="E6" s="224"/>
      <c r="F6" s="224"/>
      <c r="G6" s="224"/>
      <c r="H6" s="224"/>
      <c r="I6" s="225"/>
      <c r="J6" s="223">
        <v>2019</v>
      </c>
      <c r="K6" s="224"/>
      <c r="L6" s="224"/>
      <c r="M6" s="224"/>
      <c r="N6" s="224"/>
      <c r="O6" s="225"/>
      <c r="P6" s="223" t="s">
        <v>287</v>
      </c>
      <c r="Q6" s="224"/>
      <c r="R6" s="224"/>
      <c r="S6" s="224"/>
      <c r="T6" s="224"/>
      <c r="U6" s="225"/>
      <c r="W6" s="223" t="s">
        <v>300</v>
      </c>
      <c r="X6" s="225"/>
      <c r="Y6" s="223">
        <v>2019</v>
      </c>
      <c r="Z6" s="224"/>
      <c r="AA6" s="224"/>
      <c r="AB6" s="224"/>
      <c r="AC6" s="224"/>
      <c r="AD6" s="225"/>
      <c r="AE6" s="223">
        <v>2020</v>
      </c>
      <c r="AF6" s="224"/>
      <c r="AG6" s="224"/>
      <c r="AH6" s="224"/>
      <c r="AI6" s="224"/>
      <c r="AJ6" s="225"/>
      <c r="AK6" s="223" t="s">
        <v>288</v>
      </c>
      <c r="AL6" s="224"/>
      <c r="AM6" s="224"/>
      <c r="AN6" s="224"/>
      <c r="AO6" s="224"/>
      <c r="AP6" s="225"/>
      <c r="AR6" s="223" t="s">
        <v>300</v>
      </c>
      <c r="AS6" s="225"/>
      <c r="AT6" s="223">
        <v>2020</v>
      </c>
      <c r="AU6" s="224"/>
      <c r="AV6" s="224"/>
      <c r="AW6" s="224"/>
      <c r="AX6" s="224"/>
      <c r="AY6" s="225"/>
      <c r="AZ6" s="223">
        <v>2021</v>
      </c>
      <c r="BA6" s="224"/>
      <c r="BB6" s="224"/>
      <c r="BC6" s="224"/>
      <c r="BD6" s="224"/>
      <c r="BE6" s="225"/>
      <c r="BF6" s="223" t="s">
        <v>289</v>
      </c>
      <c r="BG6" s="224"/>
      <c r="BH6" s="224"/>
      <c r="BI6" s="224"/>
      <c r="BJ6" s="224"/>
      <c r="BK6" s="225"/>
    </row>
    <row r="7" spans="2:63" ht="43.5" x14ac:dyDescent="0.35">
      <c r="B7" s="95" t="s">
        <v>241</v>
      </c>
      <c r="C7" s="95" t="s">
        <v>242</v>
      </c>
      <c r="D7" s="95" t="s">
        <v>90</v>
      </c>
      <c r="E7" s="95" t="s">
        <v>267</v>
      </c>
      <c r="F7" s="95" t="s">
        <v>268</v>
      </c>
      <c r="G7" s="95" t="s">
        <v>243</v>
      </c>
      <c r="H7" s="95" t="s">
        <v>269</v>
      </c>
      <c r="I7" s="95" t="s">
        <v>244</v>
      </c>
      <c r="J7" s="95" t="s">
        <v>90</v>
      </c>
      <c r="K7" s="95" t="s">
        <v>267</v>
      </c>
      <c r="L7" s="95" t="s">
        <v>268</v>
      </c>
      <c r="M7" s="95" t="s">
        <v>243</v>
      </c>
      <c r="N7" s="95" t="s">
        <v>269</v>
      </c>
      <c r="O7" s="95" t="s">
        <v>244</v>
      </c>
      <c r="P7" s="95" t="s">
        <v>90</v>
      </c>
      <c r="Q7" s="95" t="s">
        <v>267</v>
      </c>
      <c r="R7" s="95" t="s">
        <v>268</v>
      </c>
      <c r="S7" s="95" t="s">
        <v>243</v>
      </c>
      <c r="T7" s="95" t="s">
        <v>269</v>
      </c>
      <c r="U7" s="95" t="s">
        <v>244</v>
      </c>
      <c r="W7" s="95" t="s">
        <v>241</v>
      </c>
      <c r="X7" s="95" t="s">
        <v>242</v>
      </c>
      <c r="Y7" s="95" t="s">
        <v>90</v>
      </c>
      <c r="Z7" s="95" t="s">
        <v>267</v>
      </c>
      <c r="AA7" s="95" t="s">
        <v>268</v>
      </c>
      <c r="AB7" s="95" t="s">
        <v>243</v>
      </c>
      <c r="AC7" s="95" t="s">
        <v>269</v>
      </c>
      <c r="AD7" s="95" t="s">
        <v>244</v>
      </c>
      <c r="AE7" s="95" t="s">
        <v>90</v>
      </c>
      <c r="AF7" s="95" t="s">
        <v>267</v>
      </c>
      <c r="AG7" s="95" t="s">
        <v>268</v>
      </c>
      <c r="AH7" s="95" t="s">
        <v>243</v>
      </c>
      <c r="AI7" s="95" t="s">
        <v>269</v>
      </c>
      <c r="AJ7" s="95" t="s">
        <v>244</v>
      </c>
      <c r="AK7" s="95" t="s">
        <v>90</v>
      </c>
      <c r="AL7" s="95" t="s">
        <v>267</v>
      </c>
      <c r="AM7" s="95" t="s">
        <v>268</v>
      </c>
      <c r="AN7" s="95" t="s">
        <v>243</v>
      </c>
      <c r="AO7" s="95" t="s">
        <v>269</v>
      </c>
      <c r="AP7" s="95" t="s">
        <v>244</v>
      </c>
      <c r="AR7" s="95" t="s">
        <v>241</v>
      </c>
      <c r="AS7" s="95" t="s">
        <v>242</v>
      </c>
      <c r="AT7" s="95" t="s">
        <v>90</v>
      </c>
      <c r="AU7" s="95" t="s">
        <v>267</v>
      </c>
      <c r="AV7" s="95" t="s">
        <v>268</v>
      </c>
      <c r="AW7" s="95" t="s">
        <v>243</v>
      </c>
      <c r="AX7" s="95" t="s">
        <v>269</v>
      </c>
      <c r="AY7" s="95" t="s">
        <v>244</v>
      </c>
      <c r="AZ7" s="95" t="s">
        <v>90</v>
      </c>
      <c r="BA7" s="95" t="s">
        <v>267</v>
      </c>
      <c r="BB7" s="95" t="s">
        <v>268</v>
      </c>
      <c r="BC7" s="95" t="s">
        <v>243</v>
      </c>
      <c r="BD7" s="95" t="s">
        <v>269</v>
      </c>
      <c r="BE7" s="95" t="s">
        <v>244</v>
      </c>
      <c r="BF7" s="95" t="s">
        <v>90</v>
      </c>
      <c r="BG7" s="95" t="s">
        <v>267</v>
      </c>
      <c r="BH7" s="95" t="s">
        <v>268</v>
      </c>
      <c r="BI7" s="95" t="s">
        <v>243</v>
      </c>
      <c r="BJ7" s="95" t="s">
        <v>269</v>
      </c>
      <c r="BK7" s="95" t="s">
        <v>244</v>
      </c>
    </row>
    <row r="8" spans="2:63" x14ac:dyDescent="0.35">
      <c r="B8" s="102">
        <v>101</v>
      </c>
      <c r="C8" s="103" t="s">
        <v>247</v>
      </c>
      <c r="D8" s="141">
        <f t="shared" ref="D8:D19" si="0">D27+D46</f>
        <v>0</v>
      </c>
      <c r="E8" s="152" t="str">
        <f t="shared" ref="E8:E21" si="1">IF(D8=0,"NA",(SUMPRODUCT(E27,D27)+SUMPRODUCT(E46,D46))/D8)</f>
        <v>NA</v>
      </c>
      <c r="F8" s="152" t="str">
        <f t="shared" ref="F8:F21" si="2">IF(D8=0,"NA",(SUMPRODUCT(F27,D27)+SUMPRODUCT(F46,D46))/D8)</f>
        <v>NA</v>
      </c>
      <c r="G8" s="152" t="str">
        <f t="shared" ref="G8:G21" si="3">IF(D8=0,"NA",(SUMPRODUCT(G27,D27)+SUMPRODUCT(G46,D46))/D8)</f>
        <v>NA</v>
      </c>
      <c r="H8" s="152" t="str">
        <f t="shared" ref="H8:H21" si="4">IF(D8=0,"NA",(SUMPRODUCT(H27,D27)+SUMPRODUCT(H46,D46))/D8)</f>
        <v>NA</v>
      </c>
      <c r="I8" s="152" t="str">
        <f t="shared" ref="I8:I19" si="5">IF(D8=0,"NA",(SUMPRODUCT(I27,D27)+SUMPRODUCT(I46,D46))/D8)</f>
        <v>NA</v>
      </c>
      <c r="J8" s="141">
        <f t="shared" ref="J8:J19" si="6">J27+J46</f>
        <v>0</v>
      </c>
      <c r="K8" s="152" t="str">
        <f t="shared" ref="K8:K21" si="7">IF(J8=0,"NA",(SUMPRODUCT(K27,J27)+SUMPRODUCT(K46,J46))/J8)</f>
        <v>NA</v>
      </c>
      <c r="L8" s="152" t="str">
        <f t="shared" ref="L8:L21" si="8">IF(J8=0,"NA",(SUMPRODUCT(L27,J27)+SUMPRODUCT(L46,J46))/J8)</f>
        <v>NA</v>
      </c>
      <c r="M8" s="152" t="str">
        <f t="shared" ref="M8:M21" si="9">IF(J8=0,"NA",(SUMPRODUCT(M27,J27)+SUMPRODUCT(M46,J46))/J8)</f>
        <v>NA</v>
      </c>
      <c r="N8" s="152" t="str">
        <f t="shared" ref="N8:N21" si="10">IF(J8=0,"NA",(SUMPRODUCT(N27,J27)+SUMPRODUCT(N46,J46))/J8)</f>
        <v>NA</v>
      </c>
      <c r="O8" s="152" t="str">
        <f t="shared" ref="O8:O19" si="11">IF(J8=0,"NA",(SUMPRODUCT(O27,J27)+SUMPRODUCT(O46,J46))/J8)</f>
        <v>NA</v>
      </c>
      <c r="P8" s="154" t="str">
        <f t="shared" ref="P8:P21" si="12">IFERROR((J8/D8-1),"NA")</f>
        <v>NA</v>
      </c>
      <c r="Q8" s="154" t="str">
        <f t="shared" ref="Q8:Q21" si="13">IFERROR((K8/E8-1),"NA")</f>
        <v>NA</v>
      </c>
      <c r="R8" s="154" t="str">
        <f t="shared" ref="R8:R21" si="14">IFERROR((L8/F8-1),"NA")</f>
        <v>NA</v>
      </c>
      <c r="S8" s="154" t="str">
        <f t="shared" ref="S8:S21" si="15">IFERROR((M8/G8-1),"NA")</f>
        <v>NA</v>
      </c>
      <c r="T8" s="154" t="str">
        <f t="shared" ref="T8:T21" si="16">IFERROR((N8/H8-1),"NA")</f>
        <v>NA</v>
      </c>
      <c r="U8" s="154" t="str">
        <f>IFERROR((O8/I8-1),"NA")</f>
        <v>NA</v>
      </c>
      <c r="W8" s="108">
        <v>101</v>
      </c>
      <c r="X8" s="103" t="s">
        <v>247</v>
      </c>
      <c r="Y8" s="141">
        <f t="shared" ref="Y8:Y19" si="17">Y27+Y46</f>
        <v>0</v>
      </c>
      <c r="Z8" s="152" t="str">
        <f t="shared" ref="Z8:Z21" si="18">IF(Y8=0,"NA",(SUMPRODUCT(Z27,Y27)+SUMPRODUCT(Z46,Y46))/Y8)</f>
        <v>NA</v>
      </c>
      <c r="AA8" s="152" t="str">
        <f t="shared" ref="AA8:AA21" si="19">IF(Y8=0,"NA",(SUMPRODUCT(AA27,Y27)+SUMPRODUCT(AA46,Y46))/Y8)</f>
        <v>NA</v>
      </c>
      <c r="AB8" s="152" t="str">
        <f t="shared" ref="AB8:AB21" si="20">IF(Y8=0,"NA",(SUMPRODUCT(AB27,Y27)+SUMPRODUCT(AB46,Y46))/Y8)</f>
        <v>NA</v>
      </c>
      <c r="AC8" s="152" t="str">
        <f t="shared" ref="AC8:AC21" si="21">IF(Y8=0,"NA",(SUMPRODUCT(AC27,Y27)+SUMPRODUCT(AC46,Y46))/Y8)</f>
        <v>NA</v>
      </c>
      <c r="AD8" s="152" t="str">
        <f t="shared" ref="AD8:AD19" si="22">IF(Y8=0,"NA",(SUMPRODUCT(AD27,AC27)+SUMPRODUCT(AD46,AC46))/Y8)</f>
        <v>NA</v>
      </c>
      <c r="AE8" s="141">
        <f t="shared" ref="AE8:AE19" si="23">AE27+AE46</f>
        <v>0</v>
      </c>
      <c r="AF8" s="152" t="str">
        <f t="shared" ref="AF8:AF21" si="24">IF(AE8=0,"NA",(SUMPRODUCT(AF27,AE27)+SUMPRODUCT(AF46,AE46))/AE8)</f>
        <v>NA</v>
      </c>
      <c r="AG8" s="152" t="str">
        <f t="shared" ref="AG8:AG21" si="25">IF(AE8=0,"NA",(SUMPRODUCT(AG27,AE27)+SUMPRODUCT(AG46,AE46))/AE8)</f>
        <v>NA</v>
      </c>
      <c r="AH8" s="152" t="str">
        <f t="shared" ref="AH8:AH21" si="26">IF(AE8=0,"NA",(SUMPRODUCT(AH27,AE27)+SUMPRODUCT(AH46,AE46))/AE8)</f>
        <v>NA</v>
      </c>
      <c r="AI8" s="152" t="str">
        <f t="shared" ref="AI8:AI21" si="27">IF(AE8=0,"NA",(SUMPRODUCT(AI27,AE27)+SUMPRODUCT(AI46,AE46))/AE8)</f>
        <v>NA</v>
      </c>
      <c r="AJ8" s="152" t="str">
        <f t="shared" ref="AJ8:AJ19" si="28">IF(AE8=0,"NA",(SUMPRODUCT(AJ27,AI27)+SUMPRODUCT(AJ46,AI46))/AE8)</f>
        <v>NA</v>
      </c>
      <c r="AK8" s="154" t="str">
        <f t="shared" ref="AK8:AK21" si="29">IFERROR((AE8/Y8-1),"NA")</f>
        <v>NA</v>
      </c>
      <c r="AL8" s="154" t="str">
        <f t="shared" ref="AL8:AL21" si="30">IFERROR((AF8/Z8-1),"NA")</f>
        <v>NA</v>
      </c>
      <c r="AM8" s="154" t="str">
        <f t="shared" ref="AM8:AM21" si="31">IFERROR((AG8/AA8-1),"NA")</f>
        <v>NA</v>
      </c>
      <c r="AN8" s="154" t="str">
        <f t="shared" ref="AN8:AN21" si="32">IFERROR((AH8/AB8-1),"NA")</f>
        <v>NA</v>
      </c>
      <c r="AO8" s="154" t="str">
        <f t="shared" ref="AO8:AO21" si="33">IFERROR((AI8/AC8-1),"NA")</f>
        <v>NA</v>
      </c>
      <c r="AP8" s="154" t="str">
        <f t="shared" ref="AP8:AP21" si="34">IFERROR((AJ8/AD8-1),"NA")</f>
        <v>NA</v>
      </c>
      <c r="AR8" s="108">
        <v>101</v>
      </c>
      <c r="AS8" s="103" t="s">
        <v>247</v>
      </c>
      <c r="AT8" s="141">
        <f t="shared" ref="AT8:AT19" si="35">AT27+AT46</f>
        <v>0</v>
      </c>
      <c r="AU8" s="152" t="str">
        <f t="shared" ref="AU8:AU21" si="36">IF(AT8=0,"NA",(SUMPRODUCT(AU27,AT27)+SUMPRODUCT(AU46,AT46))/AT8)</f>
        <v>NA</v>
      </c>
      <c r="AV8" s="152" t="str">
        <f t="shared" ref="AV8:AV21" si="37">IF(AT8=0,"NA",(SUMPRODUCT(AV27,AT27)+SUMPRODUCT(AV46,AT46))/AT8)</f>
        <v>NA</v>
      </c>
      <c r="AW8" s="152" t="str">
        <f t="shared" ref="AW8:AW21" si="38">IF(AT8=0,"NA",(SUMPRODUCT(AW27,AT27)+SUMPRODUCT(AW46,AT46))/AT8)</f>
        <v>NA</v>
      </c>
      <c r="AX8" s="152" t="str">
        <f t="shared" ref="AX8:AX21" si="39">IF(AT8=0,"NA",(SUMPRODUCT(AX27,AT27)+SUMPRODUCT(AX46,AT46))/AT8)</f>
        <v>NA</v>
      </c>
      <c r="AY8" s="152" t="str">
        <f t="shared" ref="AY8:AY19" si="40">IF(AT8=0,"NA",(SUMPRODUCT(AY27,AX27)+SUMPRODUCT(AY46,AX46))/AT8)</f>
        <v>NA</v>
      </c>
      <c r="AZ8" s="141">
        <f t="shared" ref="AZ8:AZ19" si="41">AZ27+AZ46</f>
        <v>0</v>
      </c>
      <c r="BA8" s="152" t="str">
        <f t="shared" ref="BA8:BA21" si="42">IF(AZ8=0,"NA",(SUMPRODUCT(BA27,AZ27)+SUMPRODUCT(BA46,AZ46))/AZ8)</f>
        <v>NA</v>
      </c>
      <c r="BB8" s="152" t="str">
        <f t="shared" ref="BB8:BB21" si="43">IF(AZ8=0,"NA",(SUMPRODUCT(BB27,AZ27)+SUMPRODUCT(BB46,AZ46))/AZ8)</f>
        <v>NA</v>
      </c>
      <c r="BC8" s="152" t="str">
        <f t="shared" ref="BC8:BC21" si="44">IF(AZ8=0,"NA",(SUMPRODUCT(BC27,AZ27)+SUMPRODUCT(BC46,AZ46))/AZ8)</f>
        <v>NA</v>
      </c>
      <c r="BD8" s="152" t="str">
        <f t="shared" ref="BD8:BD21" si="45">IF(AZ8=0,"NA",(SUMPRODUCT(BD27,AZ27)+SUMPRODUCT(BD46,AZ46))/AZ8)</f>
        <v>NA</v>
      </c>
      <c r="BE8" s="152" t="str">
        <f t="shared" ref="BE8:BE19" si="46">IF(AZ8=0,"NA",(SUMPRODUCT(BE27,BD27)+SUMPRODUCT(BE46,BD46))/AZ8)</f>
        <v>NA</v>
      </c>
      <c r="BF8" s="154" t="str">
        <f t="shared" ref="BF8:BF21" si="47">IFERROR((AZ8/AT8-1),"NA")</f>
        <v>NA</v>
      </c>
      <c r="BG8" s="154" t="str">
        <f t="shared" ref="BG8:BG21" si="48">IFERROR((BA8/AU8-1),"NA")</f>
        <v>NA</v>
      </c>
      <c r="BH8" s="154" t="str">
        <f t="shared" ref="BH8:BH21" si="49">IFERROR((BB8/AV8-1),"NA")</f>
        <v>NA</v>
      </c>
      <c r="BI8" s="154" t="str">
        <f t="shared" ref="BI8:BI21" si="50">IFERROR((BC8/AW8-1),"NA")</f>
        <v>NA</v>
      </c>
      <c r="BJ8" s="154" t="str">
        <f t="shared" ref="BJ8:BJ21" si="51">IFERROR((BD8/AX8-1),"NA")</f>
        <v>NA</v>
      </c>
      <c r="BK8" s="154" t="str">
        <f t="shared" ref="BK8:BK21" si="52">IFERROR((BE8/AY8-1),"NA")</f>
        <v>NA</v>
      </c>
    </row>
    <row r="9" spans="2:63" x14ac:dyDescent="0.35">
      <c r="B9" s="102">
        <v>102</v>
      </c>
      <c r="C9" s="103" t="s">
        <v>292</v>
      </c>
      <c r="D9" s="141">
        <f t="shared" si="0"/>
        <v>0</v>
      </c>
      <c r="E9" s="152" t="str">
        <f t="shared" si="1"/>
        <v>NA</v>
      </c>
      <c r="F9" s="152" t="str">
        <f t="shared" si="2"/>
        <v>NA</v>
      </c>
      <c r="G9" s="152" t="str">
        <f t="shared" si="3"/>
        <v>NA</v>
      </c>
      <c r="H9" s="152" t="str">
        <f t="shared" si="4"/>
        <v>NA</v>
      </c>
      <c r="I9" s="152" t="str">
        <f t="shared" si="5"/>
        <v>NA</v>
      </c>
      <c r="J9" s="141">
        <f t="shared" si="6"/>
        <v>0</v>
      </c>
      <c r="K9" s="152" t="str">
        <f t="shared" si="7"/>
        <v>NA</v>
      </c>
      <c r="L9" s="152" t="str">
        <f t="shared" si="8"/>
        <v>NA</v>
      </c>
      <c r="M9" s="152" t="str">
        <f t="shared" si="9"/>
        <v>NA</v>
      </c>
      <c r="N9" s="152" t="str">
        <f t="shared" si="10"/>
        <v>NA</v>
      </c>
      <c r="O9" s="152" t="str">
        <f t="shared" si="11"/>
        <v>NA</v>
      </c>
      <c r="P9" s="154" t="str">
        <f t="shared" si="12"/>
        <v>NA</v>
      </c>
      <c r="Q9" s="154" t="str">
        <f t="shared" si="13"/>
        <v>NA</v>
      </c>
      <c r="R9" s="154" t="str">
        <f t="shared" si="14"/>
        <v>NA</v>
      </c>
      <c r="S9" s="154" t="str">
        <f t="shared" si="15"/>
        <v>NA</v>
      </c>
      <c r="T9" s="154" t="str">
        <f t="shared" si="16"/>
        <v>NA</v>
      </c>
      <c r="U9" s="154" t="str">
        <f t="shared" ref="U9:U21" si="53">IFERROR((O9/I9-1),"NA")</f>
        <v>NA</v>
      </c>
      <c r="W9" s="108">
        <v>102</v>
      </c>
      <c r="X9" s="103" t="s">
        <v>292</v>
      </c>
      <c r="Y9" s="141">
        <f t="shared" si="17"/>
        <v>0</v>
      </c>
      <c r="Z9" s="152" t="str">
        <f t="shared" si="18"/>
        <v>NA</v>
      </c>
      <c r="AA9" s="152" t="str">
        <f t="shared" si="19"/>
        <v>NA</v>
      </c>
      <c r="AB9" s="152" t="str">
        <f t="shared" si="20"/>
        <v>NA</v>
      </c>
      <c r="AC9" s="152" t="str">
        <f t="shared" si="21"/>
        <v>NA</v>
      </c>
      <c r="AD9" s="152" t="str">
        <f t="shared" si="22"/>
        <v>NA</v>
      </c>
      <c r="AE9" s="141">
        <f t="shared" si="23"/>
        <v>0</v>
      </c>
      <c r="AF9" s="152" t="str">
        <f t="shared" si="24"/>
        <v>NA</v>
      </c>
      <c r="AG9" s="152" t="str">
        <f t="shared" si="25"/>
        <v>NA</v>
      </c>
      <c r="AH9" s="152" t="str">
        <f t="shared" si="26"/>
        <v>NA</v>
      </c>
      <c r="AI9" s="152" t="str">
        <f t="shared" si="27"/>
        <v>NA</v>
      </c>
      <c r="AJ9" s="152" t="str">
        <f t="shared" si="28"/>
        <v>NA</v>
      </c>
      <c r="AK9" s="154" t="str">
        <f t="shared" si="29"/>
        <v>NA</v>
      </c>
      <c r="AL9" s="154" t="str">
        <f t="shared" si="30"/>
        <v>NA</v>
      </c>
      <c r="AM9" s="154" t="str">
        <f t="shared" si="31"/>
        <v>NA</v>
      </c>
      <c r="AN9" s="154" t="str">
        <f t="shared" si="32"/>
        <v>NA</v>
      </c>
      <c r="AO9" s="154" t="str">
        <f t="shared" si="33"/>
        <v>NA</v>
      </c>
      <c r="AP9" s="154" t="str">
        <f t="shared" si="34"/>
        <v>NA</v>
      </c>
      <c r="AR9" s="108">
        <v>102</v>
      </c>
      <c r="AS9" s="103" t="s">
        <v>292</v>
      </c>
      <c r="AT9" s="141">
        <f t="shared" si="35"/>
        <v>0</v>
      </c>
      <c r="AU9" s="152" t="str">
        <f t="shared" si="36"/>
        <v>NA</v>
      </c>
      <c r="AV9" s="152" t="str">
        <f t="shared" si="37"/>
        <v>NA</v>
      </c>
      <c r="AW9" s="152" t="str">
        <f t="shared" si="38"/>
        <v>NA</v>
      </c>
      <c r="AX9" s="152" t="str">
        <f t="shared" si="39"/>
        <v>NA</v>
      </c>
      <c r="AY9" s="152" t="str">
        <f t="shared" si="40"/>
        <v>NA</v>
      </c>
      <c r="AZ9" s="141">
        <f t="shared" si="41"/>
        <v>0</v>
      </c>
      <c r="BA9" s="152" t="str">
        <f t="shared" si="42"/>
        <v>NA</v>
      </c>
      <c r="BB9" s="152" t="str">
        <f t="shared" si="43"/>
        <v>NA</v>
      </c>
      <c r="BC9" s="152" t="str">
        <f t="shared" si="44"/>
        <v>NA</v>
      </c>
      <c r="BD9" s="152" t="str">
        <f t="shared" si="45"/>
        <v>NA</v>
      </c>
      <c r="BE9" s="152" t="str">
        <f t="shared" si="46"/>
        <v>NA</v>
      </c>
      <c r="BF9" s="154" t="str">
        <f t="shared" si="47"/>
        <v>NA</v>
      </c>
      <c r="BG9" s="154" t="str">
        <f t="shared" si="48"/>
        <v>NA</v>
      </c>
      <c r="BH9" s="154" t="str">
        <f t="shared" si="49"/>
        <v>NA</v>
      </c>
      <c r="BI9" s="154" t="str">
        <f t="shared" si="50"/>
        <v>NA</v>
      </c>
      <c r="BJ9" s="154" t="str">
        <f t="shared" si="51"/>
        <v>NA</v>
      </c>
      <c r="BK9" s="154" t="str">
        <f t="shared" si="52"/>
        <v>NA</v>
      </c>
    </row>
    <row r="10" spans="2:63" x14ac:dyDescent="0.35">
      <c r="B10" s="102">
        <v>103</v>
      </c>
      <c r="C10" s="103" t="s">
        <v>248</v>
      </c>
      <c r="D10" s="141">
        <f t="shared" si="0"/>
        <v>0</v>
      </c>
      <c r="E10" s="152" t="str">
        <f t="shared" si="1"/>
        <v>NA</v>
      </c>
      <c r="F10" s="152" t="str">
        <f t="shared" si="2"/>
        <v>NA</v>
      </c>
      <c r="G10" s="152" t="str">
        <f t="shared" si="3"/>
        <v>NA</v>
      </c>
      <c r="H10" s="152" t="str">
        <f t="shared" si="4"/>
        <v>NA</v>
      </c>
      <c r="I10" s="152" t="str">
        <f t="shared" si="5"/>
        <v>NA</v>
      </c>
      <c r="J10" s="141">
        <f t="shared" si="6"/>
        <v>0</v>
      </c>
      <c r="K10" s="152" t="str">
        <f t="shared" si="7"/>
        <v>NA</v>
      </c>
      <c r="L10" s="152" t="str">
        <f t="shared" si="8"/>
        <v>NA</v>
      </c>
      <c r="M10" s="152" t="str">
        <f t="shared" si="9"/>
        <v>NA</v>
      </c>
      <c r="N10" s="152" t="str">
        <f t="shared" si="10"/>
        <v>NA</v>
      </c>
      <c r="O10" s="152" t="str">
        <f t="shared" si="11"/>
        <v>NA</v>
      </c>
      <c r="P10" s="154" t="str">
        <f t="shared" si="12"/>
        <v>NA</v>
      </c>
      <c r="Q10" s="154" t="str">
        <f t="shared" si="13"/>
        <v>NA</v>
      </c>
      <c r="R10" s="154" t="str">
        <f t="shared" si="14"/>
        <v>NA</v>
      </c>
      <c r="S10" s="154" t="str">
        <f t="shared" si="15"/>
        <v>NA</v>
      </c>
      <c r="T10" s="154" t="str">
        <f t="shared" si="16"/>
        <v>NA</v>
      </c>
      <c r="U10" s="154" t="str">
        <f t="shared" si="53"/>
        <v>NA</v>
      </c>
      <c r="W10" s="108">
        <v>103</v>
      </c>
      <c r="X10" s="103" t="s">
        <v>248</v>
      </c>
      <c r="Y10" s="141">
        <f t="shared" si="17"/>
        <v>0</v>
      </c>
      <c r="Z10" s="152" t="str">
        <f t="shared" si="18"/>
        <v>NA</v>
      </c>
      <c r="AA10" s="152" t="str">
        <f t="shared" si="19"/>
        <v>NA</v>
      </c>
      <c r="AB10" s="152" t="str">
        <f t="shared" si="20"/>
        <v>NA</v>
      </c>
      <c r="AC10" s="152" t="str">
        <f t="shared" si="21"/>
        <v>NA</v>
      </c>
      <c r="AD10" s="152" t="str">
        <f t="shared" si="22"/>
        <v>NA</v>
      </c>
      <c r="AE10" s="141">
        <f t="shared" si="23"/>
        <v>0</v>
      </c>
      <c r="AF10" s="152" t="str">
        <f t="shared" si="24"/>
        <v>NA</v>
      </c>
      <c r="AG10" s="152" t="str">
        <f t="shared" si="25"/>
        <v>NA</v>
      </c>
      <c r="AH10" s="152" t="str">
        <f t="shared" si="26"/>
        <v>NA</v>
      </c>
      <c r="AI10" s="152" t="str">
        <f t="shared" si="27"/>
        <v>NA</v>
      </c>
      <c r="AJ10" s="152" t="str">
        <f t="shared" si="28"/>
        <v>NA</v>
      </c>
      <c r="AK10" s="154" t="str">
        <f t="shared" si="29"/>
        <v>NA</v>
      </c>
      <c r="AL10" s="154" t="str">
        <f t="shared" si="30"/>
        <v>NA</v>
      </c>
      <c r="AM10" s="154" t="str">
        <f t="shared" si="31"/>
        <v>NA</v>
      </c>
      <c r="AN10" s="154" t="str">
        <f t="shared" si="32"/>
        <v>NA</v>
      </c>
      <c r="AO10" s="154" t="str">
        <f t="shared" si="33"/>
        <v>NA</v>
      </c>
      <c r="AP10" s="154" t="str">
        <f t="shared" si="34"/>
        <v>NA</v>
      </c>
      <c r="AR10" s="108">
        <v>103</v>
      </c>
      <c r="AS10" s="103" t="s">
        <v>248</v>
      </c>
      <c r="AT10" s="141">
        <f t="shared" si="35"/>
        <v>0</v>
      </c>
      <c r="AU10" s="152" t="str">
        <f t="shared" si="36"/>
        <v>NA</v>
      </c>
      <c r="AV10" s="152" t="str">
        <f t="shared" si="37"/>
        <v>NA</v>
      </c>
      <c r="AW10" s="152" t="str">
        <f t="shared" si="38"/>
        <v>NA</v>
      </c>
      <c r="AX10" s="152" t="str">
        <f t="shared" si="39"/>
        <v>NA</v>
      </c>
      <c r="AY10" s="152" t="str">
        <f t="shared" si="40"/>
        <v>NA</v>
      </c>
      <c r="AZ10" s="141">
        <f t="shared" si="41"/>
        <v>0</v>
      </c>
      <c r="BA10" s="152" t="str">
        <f t="shared" si="42"/>
        <v>NA</v>
      </c>
      <c r="BB10" s="152" t="str">
        <f t="shared" si="43"/>
        <v>NA</v>
      </c>
      <c r="BC10" s="152" t="str">
        <f t="shared" si="44"/>
        <v>NA</v>
      </c>
      <c r="BD10" s="152" t="str">
        <f t="shared" si="45"/>
        <v>NA</v>
      </c>
      <c r="BE10" s="152" t="str">
        <f t="shared" si="46"/>
        <v>NA</v>
      </c>
      <c r="BF10" s="154" t="str">
        <f t="shared" si="47"/>
        <v>NA</v>
      </c>
      <c r="BG10" s="154" t="str">
        <f t="shared" si="48"/>
        <v>NA</v>
      </c>
      <c r="BH10" s="154" t="str">
        <f t="shared" si="49"/>
        <v>NA</v>
      </c>
      <c r="BI10" s="154" t="str">
        <f t="shared" si="50"/>
        <v>NA</v>
      </c>
      <c r="BJ10" s="154" t="str">
        <f t="shared" si="51"/>
        <v>NA</v>
      </c>
      <c r="BK10" s="154" t="str">
        <f t="shared" si="52"/>
        <v>NA</v>
      </c>
    </row>
    <row r="11" spans="2:63" x14ac:dyDescent="0.35">
      <c r="B11" s="102">
        <v>104</v>
      </c>
      <c r="C11" s="103" t="s">
        <v>249</v>
      </c>
      <c r="D11" s="141">
        <f t="shared" si="0"/>
        <v>0</v>
      </c>
      <c r="E11" s="152" t="str">
        <f t="shared" si="1"/>
        <v>NA</v>
      </c>
      <c r="F11" s="152" t="str">
        <f t="shared" si="2"/>
        <v>NA</v>
      </c>
      <c r="G11" s="152" t="str">
        <f t="shared" si="3"/>
        <v>NA</v>
      </c>
      <c r="H11" s="152" t="str">
        <f t="shared" si="4"/>
        <v>NA</v>
      </c>
      <c r="I11" s="152" t="str">
        <f t="shared" si="5"/>
        <v>NA</v>
      </c>
      <c r="J11" s="141">
        <f t="shared" si="6"/>
        <v>0</v>
      </c>
      <c r="K11" s="152" t="str">
        <f t="shared" si="7"/>
        <v>NA</v>
      </c>
      <c r="L11" s="152" t="str">
        <f t="shared" si="8"/>
        <v>NA</v>
      </c>
      <c r="M11" s="152" t="str">
        <f t="shared" si="9"/>
        <v>NA</v>
      </c>
      <c r="N11" s="152" t="str">
        <f t="shared" si="10"/>
        <v>NA</v>
      </c>
      <c r="O11" s="152" t="str">
        <f t="shared" si="11"/>
        <v>NA</v>
      </c>
      <c r="P11" s="154" t="str">
        <f t="shared" si="12"/>
        <v>NA</v>
      </c>
      <c r="Q11" s="154" t="str">
        <f t="shared" si="13"/>
        <v>NA</v>
      </c>
      <c r="R11" s="154" t="str">
        <f t="shared" si="14"/>
        <v>NA</v>
      </c>
      <c r="S11" s="154" t="str">
        <f t="shared" si="15"/>
        <v>NA</v>
      </c>
      <c r="T11" s="154" t="str">
        <f t="shared" si="16"/>
        <v>NA</v>
      </c>
      <c r="U11" s="154" t="str">
        <f t="shared" si="53"/>
        <v>NA</v>
      </c>
      <c r="W11" s="108">
        <v>104</v>
      </c>
      <c r="X11" s="103" t="s">
        <v>249</v>
      </c>
      <c r="Y11" s="141">
        <f t="shared" si="17"/>
        <v>0</v>
      </c>
      <c r="Z11" s="152" t="str">
        <f t="shared" si="18"/>
        <v>NA</v>
      </c>
      <c r="AA11" s="152" t="str">
        <f t="shared" si="19"/>
        <v>NA</v>
      </c>
      <c r="AB11" s="152" t="str">
        <f t="shared" si="20"/>
        <v>NA</v>
      </c>
      <c r="AC11" s="152" t="str">
        <f t="shared" si="21"/>
        <v>NA</v>
      </c>
      <c r="AD11" s="152" t="str">
        <f t="shared" si="22"/>
        <v>NA</v>
      </c>
      <c r="AE11" s="141">
        <f t="shared" si="23"/>
        <v>0</v>
      </c>
      <c r="AF11" s="152" t="str">
        <f t="shared" si="24"/>
        <v>NA</v>
      </c>
      <c r="AG11" s="152" t="str">
        <f t="shared" si="25"/>
        <v>NA</v>
      </c>
      <c r="AH11" s="152" t="str">
        <f t="shared" si="26"/>
        <v>NA</v>
      </c>
      <c r="AI11" s="152" t="str">
        <f t="shared" si="27"/>
        <v>NA</v>
      </c>
      <c r="AJ11" s="152" t="str">
        <f t="shared" si="28"/>
        <v>NA</v>
      </c>
      <c r="AK11" s="154" t="str">
        <f t="shared" si="29"/>
        <v>NA</v>
      </c>
      <c r="AL11" s="154" t="str">
        <f t="shared" si="30"/>
        <v>NA</v>
      </c>
      <c r="AM11" s="154" t="str">
        <f t="shared" si="31"/>
        <v>NA</v>
      </c>
      <c r="AN11" s="154" t="str">
        <f t="shared" si="32"/>
        <v>NA</v>
      </c>
      <c r="AO11" s="154" t="str">
        <f t="shared" si="33"/>
        <v>NA</v>
      </c>
      <c r="AP11" s="154" t="str">
        <f t="shared" si="34"/>
        <v>NA</v>
      </c>
      <c r="AR11" s="108">
        <v>104</v>
      </c>
      <c r="AS11" s="103" t="s">
        <v>249</v>
      </c>
      <c r="AT11" s="141">
        <f t="shared" si="35"/>
        <v>0</v>
      </c>
      <c r="AU11" s="152" t="str">
        <f t="shared" si="36"/>
        <v>NA</v>
      </c>
      <c r="AV11" s="152" t="str">
        <f t="shared" si="37"/>
        <v>NA</v>
      </c>
      <c r="AW11" s="152" t="str">
        <f t="shared" si="38"/>
        <v>NA</v>
      </c>
      <c r="AX11" s="152" t="str">
        <f t="shared" si="39"/>
        <v>NA</v>
      </c>
      <c r="AY11" s="152" t="str">
        <f t="shared" si="40"/>
        <v>NA</v>
      </c>
      <c r="AZ11" s="141">
        <f t="shared" si="41"/>
        <v>0</v>
      </c>
      <c r="BA11" s="152" t="str">
        <f t="shared" si="42"/>
        <v>NA</v>
      </c>
      <c r="BB11" s="152" t="str">
        <f t="shared" si="43"/>
        <v>NA</v>
      </c>
      <c r="BC11" s="152" t="str">
        <f t="shared" si="44"/>
        <v>NA</v>
      </c>
      <c r="BD11" s="152" t="str">
        <f t="shared" si="45"/>
        <v>NA</v>
      </c>
      <c r="BE11" s="152" t="str">
        <f t="shared" si="46"/>
        <v>NA</v>
      </c>
      <c r="BF11" s="154" t="str">
        <f t="shared" si="47"/>
        <v>NA</v>
      </c>
      <c r="BG11" s="154" t="str">
        <f t="shared" si="48"/>
        <v>NA</v>
      </c>
      <c r="BH11" s="154" t="str">
        <f t="shared" si="49"/>
        <v>NA</v>
      </c>
      <c r="BI11" s="154" t="str">
        <f t="shared" si="50"/>
        <v>NA</v>
      </c>
      <c r="BJ11" s="154" t="str">
        <f t="shared" si="51"/>
        <v>NA</v>
      </c>
      <c r="BK11" s="154" t="str">
        <f t="shared" si="52"/>
        <v>NA</v>
      </c>
    </row>
    <row r="12" spans="2:63" x14ac:dyDescent="0.35">
      <c r="B12" s="102">
        <v>105</v>
      </c>
      <c r="C12" s="103" t="s">
        <v>293</v>
      </c>
      <c r="D12" s="141">
        <f t="shared" si="0"/>
        <v>0</v>
      </c>
      <c r="E12" s="152" t="str">
        <f t="shared" si="1"/>
        <v>NA</v>
      </c>
      <c r="F12" s="152" t="str">
        <f t="shared" si="2"/>
        <v>NA</v>
      </c>
      <c r="G12" s="152" t="str">
        <f t="shared" si="3"/>
        <v>NA</v>
      </c>
      <c r="H12" s="152" t="str">
        <f t="shared" si="4"/>
        <v>NA</v>
      </c>
      <c r="I12" s="152" t="str">
        <f t="shared" si="5"/>
        <v>NA</v>
      </c>
      <c r="J12" s="141">
        <f t="shared" si="6"/>
        <v>0</v>
      </c>
      <c r="K12" s="152" t="str">
        <f t="shared" si="7"/>
        <v>NA</v>
      </c>
      <c r="L12" s="152" t="str">
        <f t="shared" si="8"/>
        <v>NA</v>
      </c>
      <c r="M12" s="152" t="str">
        <f t="shared" si="9"/>
        <v>NA</v>
      </c>
      <c r="N12" s="152" t="str">
        <f t="shared" si="10"/>
        <v>NA</v>
      </c>
      <c r="O12" s="152" t="str">
        <f t="shared" si="11"/>
        <v>NA</v>
      </c>
      <c r="P12" s="154" t="str">
        <f t="shared" si="12"/>
        <v>NA</v>
      </c>
      <c r="Q12" s="154" t="str">
        <f t="shared" si="13"/>
        <v>NA</v>
      </c>
      <c r="R12" s="154" t="str">
        <f t="shared" si="14"/>
        <v>NA</v>
      </c>
      <c r="S12" s="154" t="str">
        <f t="shared" si="15"/>
        <v>NA</v>
      </c>
      <c r="T12" s="154" t="str">
        <f t="shared" si="16"/>
        <v>NA</v>
      </c>
      <c r="U12" s="154" t="str">
        <f t="shared" si="53"/>
        <v>NA</v>
      </c>
      <c r="W12" s="108">
        <v>105</v>
      </c>
      <c r="X12" s="103" t="s">
        <v>293</v>
      </c>
      <c r="Y12" s="141">
        <f t="shared" si="17"/>
        <v>0</v>
      </c>
      <c r="Z12" s="152" t="str">
        <f t="shared" si="18"/>
        <v>NA</v>
      </c>
      <c r="AA12" s="152" t="str">
        <f t="shared" si="19"/>
        <v>NA</v>
      </c>
      <c r="AB12" s="152" t="str">
        <f t="shared" si="20"/>
        <v>NA</v>
      </c>
      <c r="AC12" s="152" t="str">
        <f t="shared" si="21"/>
        <v>NA</v>
      </c>
      <c r="AD12" s="152" t="str">
        <f t="shared" si="22"/>
        <v>NA</v>
      </c>
      <c r="AE12" s="141">
        <f t="shared" si="23"/>
        <v>0</v>
      </c>
      <c r="AF12" s="152" t="str">
        <f t="shared" si="24"/>
        <v>NA</v>
      </c>
      <c r="AG12" s="152" t="str">
        <f t="shared" si="25"/>
        <v>NA</v>
      </c>
      <c r="AH12" s="152" t="str">
        <f t="shared" si="26"/>
        <v>NA</v>
      </c>
      <c r="AI12" s="152" t="str">
        <f t="shared" si="27"/>
        <v>NA</v>
      </c>
      <c r="AJ12" s="152" t="str">
        <f t="shared" si="28"/>
        <v>NA</v>
      </c>
      <c r="AK12" s="154" t="str">
        <f t="shared" si="29"/>
        <v>NA</v>
      </c>
      <c r="AL12" s="154" t="str">
        <f t="shared" si="30"/>
        <v>NA</v>
      </c>
      <c r="AM12" s="154" t="str">
        <f t="shared" si="31"/>
        <v>NA</v>
      </c>
      <c r="AN12" s="154" t="str">
        <f t="shared" si="32"/>
        <v>NA</v>
      </c>
      <c r="AO12" s="154" t="str">
        <f t="shared" si="33"/>
        <v>NA</v>
      </c>
      <c r="AP12" s="154" t="str">
        <f t="shared" si="34"/>
        <v>NA</v>
      </c>
      <c r="AR12" s="108">
        <v>105</v>
      </c>
      <c r="AS12" s="103" t="s">
        <v>293</v>
      </c>
      <c r="AT12" s="141">
        <f t="shared" si="35"/>
        <v>0</v>
      </c>
      <c r="AU12" s="152" t="str">
        <f t="shared" si="36"/>
        <v>NA</v>
      </c>
      <c r="AV12" s="152" t="str">
        <f t="shared" si="37"/>
        <v>NA</v>
      </c>
      <c r="AW12" s="152" t="str">
        <f t="shared" si="38"/>
        <v>NA</v>
      </c>
      <c r="AX12" s="152" t="str">
        <f t="shared" si="39"/>
        <v>NA</v>
      </c>
      <c r="AY12" s="152" t="str">
        <f t="shared" si="40"/>
        <v>NA</v>
      </c>
      <c r="AZ12" s="141">
        <f t="shared" si="41"/>
        <v>0</v>
      </c>
      <c r="BA12" s="152" t="str">
        <f t="shared" si="42"/>
        <v>NA</v>
      </c>
      <c r="BB12" s="152" t="str">
        <f t="shared" si="43"/>
        <v>NA</v>
      </c>
      <c r="BC12" s="152" t="str">
        <f t="shared" si="44"/>
        <v>NA</v>
      </c>
      <c r="BD12" s="152" t="str">
        <f t="shared" si="45"/>
        <v>NA</v>
      </c>
      <c r="BE12" s="152" t="str">
        <f t="shared" si="46"/>
        <v>NA</v>
      </c>
      <c r="BF12" s="154" t="str">
        <f t="shared" si="47"/>
        <v>NA</v>
      </c>
      <c r="BG12" s="154" t="str">
        <f t="shared" si="48"/>
        <v>NA</v>
      </c>
      <c r="BH12" s="154" t="str">
        <f t="shared" si="49"/>
        <v>NA</v>
      </c>
      <c r="BI12" s="154" t="str">
        <f t="shared" si="50"/>
        <v>NA</v>
      </c>
      <c r="BJ12" s="154" t="str">
        <f t="shared" si="51"/>
        <v>NA</v>
      </c>
      <c r="BK12" s="154" t="str">
        <f t="shared" si="52"/>
        <v>NA</v>
      </c>
    </row>
    <row r="13" spans="2:63" x14ac:dyDescent="0.35">
      <c r="B13" s="102">
        <v>106</v>
      </c>
      <c r="C13" s="103" t="s">
        <v>250</v>
      </c>
      <c r="D13" s="141">
        <f t="shared" si="0"/>
        <v>0</v>
      </c>
      <c r="E13" s="152" t="str">
        <f t="shared" si="1"/>
        <v>NA</v>
      </c>
      <c r="F13" s="152" t="str">
        <f t="shared" si="2"/>
        <v>NA</v>
      </c>
      <c r="G13" s="152" t="str">
        <f t="shared" si="3"/>
        <v>NA</v>
      </c>
      <c r="H13" s="152" t="str">
        <f t="shared" si="4"/>
        <v>NA</v>
      </c>
      <c r="I13" s="152" t="str">
        <f t="shared" si="5"/>
        <v>NA</v>
      </c>
      <c r="J13" s="141">
        <f t="shared" si="6"/>
        <v>0</v>
      </c>
      <c r="K13" s="152" t="str">
        <f t="shared" si="7"/>
        <v>NA</v>
      </c>
      <c r="L13" s="152" t="str">
        <f t="shared" si="8"/>
        <v>NA</v>
      </c>
      <c r="M13" s="152" t="str">
        <f t="shared" si="9"/>
        <v>NA</v>
      </c>
      <c r="N13" s="152" t="str">
        <f t="shared" si="10"/>
        <v>NA</v>
      </c>
      <c r="O13" s="152" t="str">
        <f t="shared" si="11"/>
        <v>NA</v>
      </c>
      <c r="P13" s="154" t="str">
        <f t="shared" si="12"/>
        <v>NA</v>
      </c>
      <c r="Q13" s="154" t="str">
        <f t="shared" si="13"/>
        <v>NA</v>
      </c>
      <c r="R13" s="154" t="str">
        <f t="shared" si="14"/>
        <v>NA</v>
      </c>
      <c r="S13" s="154" t="str">
        <f t="shared" si="15"/>
        <v>NA</v>
      </c>
      <c r="T13" s="154" t="str">
        <f t="shared" si="16"/>
        <v>NA</v>
      </c>
      <c r="U13" s="154" t="str">
        <f t="shared" si="53"/>
        <v>NA</v>
      </c>
      <c r="W13" s="108">
        <v>106</v>
      </c>
      <c r="X13" s="103" t="s">
        <v>250</v>
      </c>
      <c r="Y13" s="141">
        <f t="shared" si="17"/>
        <v>0</v>
      </c>
      <c r="Z13" s="152" t="str">
        <f t="shared" si="18"/>
        <v>NA</v>
      </c>
      <c r="AA13" s="152" t="str">
        <f t="shared" si="19"/>
        <v>NA</v>
      </c>
      <c r="AB13" s="152" t="str">
        <f t="shared" si="20"/>
        <v>NA</v>
      </c>
      <c r="AC13" s="152" t="str">
        <f t="shared" si="21"/>
        <v>NA</v>
      </c>
      <c r="AD13" s="152" t="str">
        <f t="shared" si="22"/>
        <v>NA</v>
      </c>
      <c r="AE13" s="141">
        <f t="shared" si="23"/>
        <v>0</v>
      </c>
      <c r="AF13" s="152" t="str">
        <f t="shared" si="24"/>
        <v>NA</v>
      </c>
      <c r="AG13" s="152" t="str">
        <f t="shared" si="25"/>
        <v>NA</v>
      </c>
      <c r="AH13" s="152" t="str">
        <f t="shared" si="26"/>
        <v>NA</v>
      </c>
      <c r="AI13" s="152" t="str">
        <f t="shared" si="27"/>
        <v>NA</v>
      </c>
      <c r="AJ13" s="152" t="str">
        <f t="shared" si="28"/>
        <v>NA</v>
      </c>
      <c r="AK13" s="154" t="str">
        <f t="shared" si="29"/>
        <v>NA</v>
      </c>
      <c r="AL13" s="154" t="str">
        <f t="shared" si="30"/>
        <v>NA</v>
      </c>
      <c r="AM13" s="154" t="str">
        <f t="shared" si="31"/>
        <v>NA</v>
      </c>
      <c r="AN13" s="154" t="str">
        <f t="shared" si="32"/>
        <v>NA</v>
      </c>
      <c r="AO13" s="154" t="str">
        <f t="shared" si="33"/>
        <v>NA</v>
      </c>
      <c r="AP13" s="154" t="str">
        <f t="shared" si="34"/>
        <v>NA</v>
      </c>
      <c r="AR13" s="108">
        <v>106</v>
      </c>
      <c r="AS13" s="103" t="s">
        <v>250</v>
      </c>
      <c r="AT13" s="141">
        <f t="shared" si="35"/>
        <v>0</v>
      </c>
      <c r="AU13" s="152" t="str">
        <f t="shared" si="36"/>
        <v>NA</v>
      </c>
      <c r="AV13" s="152" t="str">
        <f t="shared" si="37"/>
        <v>NA</v>
      </c>
      <c r="AW13" s="152" t="str">
        <f t="shared" si="38"/>
        <v>NA</v>
      </c>
      <c r="AX13" s="152" t="str">
        <f t="shared" si="39"/>
        <v>NA</v>
      </c>
      <c r="AY13" s="152" t="str">
        <f t="shared" si="40"/>
        <v>NA</v>
      </c>
      <c r="AZ13" s="141">
        <f t="shared" si="41"/>
        <v>0</v>
      </c>
      <c r="BA13" s="152" t="str">
        <f t="shared" si="42"/>
        <v>NA</v>
      </c>
      <c r="BB13" s="152" t="str">
        <f t="shared" si="43"/>
        <v>NA</v>
      </c>
      <c r="BC13" s="152" t="str">
        <f t="shared" si="44"/>
        <v>NA</v>
      </c>
      <c r="BD13" s="152" t="str">
        <f t="shared" si="45"/>
        <v>NA</v>
      </c>
      <c r="BE13" s="152" t="str">
        <f t="shared" si="46"/>
        <v>NA</v>
      </c>
      <c r="BF13" s="154" t="str">
        <f t="shared" si="47"/>
        <v>NA</v>
      </c>
      <c r="BG13" s="154" t="str">
        <f t="shared" si="48"/>
        <v>NA</v>
      </c>
      <c r="BH13" s="154" t="str">
        <f t="shared" si="49"/>
        <v>NA</v>
      </c>
      <c r="BI13" s="154" t="str">
        <f t="shared" si="50"/>
        <v>NA</v>
      </c>
      <c r="BJ13" s="154" t="str">
        <f t="shared" si="51"/>
        <v>NA</v>
      </c>
      <c r="BK13" s="154" t="str">
        <f t="shared" si="52"/>
        <v>NA</v>
      </c>
    </row>
    <row r="14" spans="2:63" x14ac:dyDescent="0.35">
      <c r="B14" s="102">
        <v>107</v>
      </c>
      <c r="C14" s="103" t="s">
        <v>251</v>
      </c>
      <c r="D14" s="141">
        <f t="shared" si="0"/>
        <v>0</v>
      </c>
      <c r="E14" s="152" t="str">
        <f t="shared" si="1"/>
        <v>NA</v>
      </c>
      <c r="F14" s="152" t="str">
        <f t="shared" si="2"/>
        <v>NA</v>
      </c>
      <c r="G14" s="152" t="str">
        <f t="shared" si="3"/>
        <v>NA</v>
      </c>
      <c r="H14" s="152" t="str">
        <f t="shared" si="4"/>
        <v>NA</v>
      </c>
      <c r="I14" s="152" t="str">
        <f t="shared" si="5"/>
        <v>NA</v>
      </c>
      <c r="J14" s="141">
        <f t="shared" si="6"/>
        <v>0</v>
      </c>
      <c r="K14" s="152" t="str">
        <f t="shared" si="7"/>
        <v>NA</v>
      </c>
      <c r="L14" s="152" t="str">
        <f t="shared" si="8"/>
        <v>NA</v>
      </c>
      <c r="M14" s="152" t="str">
        <f t="shared" si="9"/>
        <v>NA</v>
      </c>
      <c r="N14" s="152" t="str">
        <f t="shared" si="10"/>
        <v>NA</v>
      </c>
      <c r="O14" s="152" t="str">
        <f t="shared" si="11"/>
        <v>NA</v>
      </c>
      <c r="P14" s="154" t="str">
        <f t="shared" si="12"/>
        <v>NA</v>
      </c>
      <c r="Q14" s="154" t="str">
        <f t="shared" si="13"/>
        <v>NA</v>
      </c>
      <c r="R14" s="154" t="str">
        <f t="shared" si="14"/>
        <v>NA</v>
      </c>
      <c r="S14" s="154" t="str">
        <f t="shared" si="15"/>
        <v>NA</v>
      </c>
      <c r="T14" s="154" t="str">
        <f t="shared" si="16"/>
        <v>NA</v>
      </c>
      <c r="U14" s="154" t="str">
        <f t="shared" si="53"/>
        <v>NA</v>
      </c>
      <c r="W14" s="108">
        <v>107</v>
      </c>
      <c r="X14" s="103" t="s">
        <v>251</v>
      </c>
      <c r="Y14" s="141">
        <f t="shared" si="17"/>
        <v>0</v>
      </c>
      <c r="Z14" s="152" t="str">
        <f t="shared" si="18"/>
        <v>NA</v>
      </c>
      <c r="AA14" s="152" t="str">
        <f t="shared" si="19"/>
        <v>NA</v>
      </c>
      <c r="AB14" s="152" t="str">
        <f t="shared" si="20"/>
        <v>NA</v>
      </c>
      <c r="AC14" s="152" t="str">
        <f t="shared" si="21"/>
        <v>NA</v>
      </c>
      <c r="AD14" s="152" t="str">
        <f t="shared" si="22"/>
        <v>NA</v>
      </c>
      <c r="AE14" s="141">
        <f t="shared" si="23"/>
        <v>0</v>
      </c>
      <c r="AF14" s="152" t="str">
        <f t="shared" si="24"/>
        <v>NA</v>
      </c>
      <c r="AG14" s="152" t="str">
        <f t="shared" si="25"/>
        <v>NA</v>
      </c>
      <c r="AH14" s="152" t="str">
        <f t="shared" si="26"/>
        <v>NA</v>
      </c>
      <c r="AI14" s="152" t="str">
        <f t="shared" si="27"/>
        <v>NA</v>
      </c>
      <c r="AJ14" s="152" t="str">
        <f t="shared" si="28"/>
        <v>NA</v>
      </c>
      <c r="AK14" s="154" t="str">
        <f t="shared" si="29"/>
        <v>NA</v>
      </c>
      <c r="AL14" s="154" t="str">
        <f t="shared" si="30"/>
        <v>NA</v>
      </c>
      <c r="AM14" s="154" t="str">
        <f t="shared" si="31"/>
        <v>NA</v>
      </c>
      <c r="AN14" s="154" t="str">
        <f t="shared" si="32"/>
        <v>NA</v>
      </c>
      <c r="AO14" s="154" t="str">
        <f t="shared" si="33"/>
        <v>NA</v>
      </c>
      <c r="AP14" s="154" t="str">
        <f t="shared" si="34"/>
        <v>NA</v>
      </c>
      <c r="AR14" s="108">
        <v>107</v>
      </c>
      <c r="AS14" s="103" t="s">
        <v>251</v>
      </c>
      <c r="AT14" s="141">
        <f t="shared" si="35"/>
        <v>0</v>
      </c>
      <c r="AU14" s="152" t="str">
        <f t="shared" si="36"/>
        <v>NA</v>
      </c>
      <c r="AV14" s="152" t="str">
        <f t="shared" si="37"/>
        <v>NA</v>
      </c>
      <c r="AW14" s="152" t="str">
        <f t="shared" si="38"/>
        <v>NA</v>
      </c>
      <c r="AX14" s="152" t="str">
        <f t="shared" si="39"/>
        <v>NA</v>
      </c>
      <c r="AY14" s="152" t="str">
        <f t="shared" si="40"/>
        <v>NA</v>
      </c>
      <c r="AZ14" s="141">
        <f t="shared" si="41"/>
        <v>0</v>
      </c>
      <c r="BA14" s="152" t="str">
        <f t="shared" si="42"/>
        <v>NA</v>
      </c>
      <c r="BB14" s="152" t="str">
        <f t="shared" si="43"/>
        <v>NA</v>
      </c>
      <c r="BC14" s="152" t="str">
        <f t="shared" si="44"/>
        <v>NA</v>
      </c>
      <c r="BD14" s="152" t="str">
        <f t="shared" si="45"/>
        <v>NA</v>
      </c>
      <c r="BE14" s="152" t="str">
        <f t="shared" si="46"/>
        <v>NA</v>
      </c>
      <c r="BF14" s="154" t="str">
        <f t="shared" si="47"/>
        <v>NA</v>
      </c>
      <c r="BG14" s="154" t="str">
        <f t="shared" si="48"/>
        <v>NA</v>
      </c>
      <c r="BH14" s="154" t="str">
        <f t="shared" si="49"/>
        <v>NA</v>
      </c>
      <c r="BI14" s="154" t="str">
        <f t="shared" si="50"/>
        <v>NA</v>
      </c>
      <c r="BJ14" s="154" t="str">
        <f t="shared" si="51"/>
        <v>NA</v>
      </c>
      <c r="BK14" s="154" t="str">
        <f t="shared" si="52"/>
        <v>NA</v>
      </c>
    </row>
    <row r="15" spans="2:63" x14ac:dyDescent="0.35">
      <c r="B15" s="102">
        <v>108</v>
      </c>
      <c r="C15" s="103" t="s">
        <v>252</v>
      </c>
      <c r="D15" s="141">
        <f t="shared" si="0"/>
        <v>0</v>
      </c>
      <c r="E15" s="152" t="str">
        <f t="shared" si="1"/>
        <v>NA</v>
      </c>
      <c r="F15" s="152" t="str">
        <f t="shared" si="2"/>
        <v>NA</v>
      </c>
      <c r="G15" s="152" t="str">
        <f t="shared" si="3"/>
        <v>NA</v>
      </c>
      <c r="H15" s="152" t="str">
        <f t="shared" si="4"/>
        <v>NA</v>
      </c>
      <c r="I15" s="152" t="str">
        <f t="shared" si="5"/>
        <v>NA</v>
      </c>
      <c r="J15" s="141">
        <f t="shared" si="6"/>
        <v>0</v>
      </c>
      <c r="K15" s="152" t="str">
        <f t="shared" si="7"/>
        <v>NA</v>
      </c>
      <c r="L15" s="152" t="str">
        <f t="shared" si="8"/>
        <v>NA</v>
      </c>
      <c r="M15" s="152" t="str">
        <f t="shared" si="9"/>
        <v>NA</v>
      </c>
      <c r="N15" s="152" t="str">
        <f t="shared" si="10"/>
        <v>NA</v>
      </c>
      <c r="O15" s="152" t="str">
        <f t="shared" si="11"/>
        <v>NA</v>
      </c>
      <c r="P15" s="154" t="str">
        <f t="shared" si="12"/>
        <v>NA</v>
      </c>
      <c r="Q15" s="154" t="str">
        <f t="shared" si="13"/>
        <v>NA</v>
      </c>
      <c r="R15" s="154" t="str">
        <f t="shared" si="14"/>
        <v>NA</v>
      </c>
      <c r="S15" s="154" t="str">
        <f t="shared" si="15"/>
        <v>NA</v>
      </c>
      <c r="T15" s="154" t="str">
        <f t="shared" si="16"/>
        <v>NA</v>
      </c>
      <c r="U15" s="154" t="str">
        <f t="shared" si="53"/>
        <v>NA</v>
      </c>
      <c r="W15" s="108">
        <v>108</v>
      </c>
      <c r="X15" s="103" t="s">
        <v>252</v>
      </c>
      <c r="Y15" s="141">
        <f t="shared" si="17"/>
        <v>0</v>
      </c>
      <c r="Z15" s="152" t="str">
        <f t="shared" si="18"/>
        <v>NA</v>
      </c>
      <c r="AA15" s="152" t="str">
        <f t="shared" si="19"/>
        <v>NA</v>
      </c>
      <c r="AB15" s="152" t="str">
        <f t="shared" si="20"/>
        <v>NA</v>
      </c>
      <c r="AC15" s="152" t="str">
        <f t="shared" si="21"/>
        <v>NA</v>
      </c>
      <c r="AD15" s="152" t="str">
        <f t="shared" si="22"/>
        <v>NA</v>
      </c>
      <c r="AE15" s="141">
        <f t="shared" si="23"/>
        <v>0</v>
      </c>
      <c r="AF15" s="152" t="str">
        <f t="shared" si="24"/>
        <v>NA</v>
      </c>
      <c r="AG15" s="152" t="str">
        <f t="shared" si="25"/>
        <v>NA</v>
      </c>
      <c r="AH15" s="152" t="str">
        <f t="shared" si="26"/>
        <v>NA</v>
      </c>
      <c r="AI15" s="152" t="str">
        <f t="shared" si="27"/>
        <v>NA</v>
      </c>
      <c r="AJ15" s="152" t="str">
        <f t="shared" si="28"/>
        <v>NA</v>
      </c>
      <c r="AK15" s="154" t="str">
        <f t="shared" si="29"/>
        <v>NA</v>
      </c>
      <c r="AL15" s="154" t="str">
        <f t="shared" si="30"/>
        <v>NA</v>
      </c>
      <c r="AM15" s="154" t="str">
        <f t="shared" si="31"/>
        <v>NA</v>
      </c>
      <c r="AN15" s="154" t="str">
        <f t="shared" si="32"/>
        <v>NA</v>
      </c>
      <c r="AO15" s="154" t="str">
        <f t="shared" si="33"/>
        <v>NA</v>
      </c>
      <c r="AP15" s="154" t="str">
        <f t="shared" si="34"/>
        <v>NA</v>
      </c>
      <c r="AR15" s="108">
        <v>108</v>
      </c>
      <c r="AS15" s="103" t="s">
        <v>252</v>
      </c>
      <c r="AT15" s="141">
        <f t="shared" si="35"/>
        <v>0</v>
      </c>
      <c r="AU15" s="152" t="str">
        <f t="shared" si="36"/>
        <v>NA</v>
      </c>
      <c r="AV15" s="152" t="str">
        <f t="shared" si="37"/>
        <v>NA</v>
      </c>
      <c r="AW15" s="152" t="str">
        <f t="shared" si="38"/>
        <v>NA</v>
      </c>
      <c r="AX15" s="152" t="str">
        <f t="shared" si="39"/>
        <v>NA</v>
      </c>
      <c r="AY15" s="152" t="str">
        <f t="shared" si="40"/>
        <v>NA</v>
      </c>
      <c r="AZ15" s="141">
        <f t="shared" si="41"/>
        <v>0</v>
      </c>
      <c r="BA15" s="152" t="str">
        <f t="shared" si="42"/>
        <v>NA</v>
      </c>
      <c r="BB15" s="152" t="str">
        <f t="shared" si="43"/>
        <v>NA</v>
      </c>
      <c r="BC15" s="152" t="str">
        <f t="shared" si="44"/>
        <v>NA</v>
      </c>
      <c r="BD15" s="152" t="str">
        <f t="shared" si="45"/>
        <v>NA</v>
      </c>
      <c r="BE15" s="152" t="str">
        <f t="shared" si="46"/>
        <v>NA</v>
      </c>
      <c r="BF15" s="154" t="str">
        <f t="shared" si="47"/>
        <v>NA</v>
      </c>
      <c r="BG15" s="154" t="str">
        <f t="shared" si="48"/>
        <v>NA</v>
      </c>
      <c r="BH15" s="154" t="str">
        <f t="shared" si="49"/>
        <v>NA</v>
      </c>
      <c r="BI15" s="154" t="str">
        <f t="shared" si="50"/>
        <v>NA</v>
      </c>
      <c r="BJ15" s="154" t="str">
        <f t="shared" si="51"/>
        <v>NA</v>
      </c>
      <c r="BK15" s="154" t="str">
        <f t="shared" si="52"/>
        <v>NA</v>
      </c>
    </row>
    <row r="16" spans="2:63" x14ac:dyDescent="0.35">
      <c r="B16" s="102">
        <v>109</v>
      </c>
      <c r="C16" s="103" t="s">
        <v>253</v>
      </c>
      <c r="D16" s="141">
        <f t="shared" si="0"/>
        <v>0</v>
      </c>
      <c r="E16" s="152" t="str">
        <f t="shared" si="1"/>
        <v>NA</v>
      </c>
      <c r="F16" s="152" t="str">
        <f t="shared" si="2"/>
        <v>NA</v>
      </c>
      <c r="G16" s="152" t="str">
        <f t="shared" si="3"/>
        <v>NA</v>
      </c>
      <c r="H16" s="152" t="str">
        <f t="shared" si="4"/>
        <v>NA</v>
      </c>
      <c r="I16" s="152" t="str">
        <f t="shared" si="5"/>
        <v>NA</v>
      </c>
      <c r="J16" s="141">
        <f t="shared" si="6"/>
        <v>0</v>
      </c>
      <c r="K16" s="152" t="str">
        <f t="shared" si="7"/>
        <v>NA</v>
      </c>
      <c r="L16" s="152" t="str">
        <f t="shared" si="8"/>
        <v>NA</v>
      </c>
      <c r="M16" s="152" t="str">
        <f t="shared" si="9"/>
        <v>NA</v>
      </c>
      <c r="N16" s="152" t="str">
        <f t="shared" si="10"/>
        <v>NA</v>
      </c>
      <c r="O16" s="152" t="str">
        <f t="shared" si="11"/>
        <v>NA</v>
      </c>
      <c r="P16" s="154" t="str">
        <f t="shared" si="12"/>
        <v>NA</v>
      </c>
      <c r="Q16" s="154" t="str">
        <f t="shared" si="13"/>
        <v>NA</v>
      </c>
      <c r="R16" s="154" t="str">
        <f t="shared" si="14"/>
        <v>NA</v>
      </c>
      <c r="S16" s="154" t="str">
        <f t="shared" si="15"/>
        <v>NA</v>
      </c>
      <c r="T16" s="154" t="str">
        <f t="shared" si="16"/>
        <v>NA</v>
      </c>
      <c r="U16" s="154" t="str">
        <f t="shared" si="53"/>
        <v>NA</v>
      </c>
      <c r="W16" s="108">
        <v>109</v>
      </c>
      <c r="X16" s="103" t="s">
        <v>253</v>
      </c>
      <c r="Y16" s="141">
        <f t="shared" si="17"/>
        <v>0</v>
      </c>
      <c r="Z16" s="152" t="str">
        <f t="shared" si="18"/>
        <v>NA</v>
      </c>
      <c r="AA16" s="152" t="str">
        <f t="shared" si="19"/>
        <v>NA</v>
      </c>
      <c r="AB16" s="152" t="str">
        <f t="shared" si="20"/>
        <v>NA</v>
      </c>
      <c r="AC16" s="152" t="str">
        <f t="shared" si="21"/>
        <v>NA</v>
      </c>
      <c r="AD16" s="152" t="str">
        <f t="shared" si="22"/>
        <v>NA</v>
      </c>
      <c r="AE16" s="141">
        <f t="shared" si="23"/>
        <v>0</v>
      </c>
      <c r="AF16" s="152" t="str">
        <f t="shared" si="24"/>
        <v>NA</v>
      </c>
      <c r="AG16" s="152" t="str">
        <f t="shared" si="25"/>
        <v>NA</v>
      </c>
      <c r="AH16" s="152" t="str">
        <f t="shared" si="26"/>
        <v>NA</v>
      </c>
      <c r="AI16" s="152" t="str">
        <f t="shared" si="27"/>
        <v>NA</v>
      </c>
      <c r="AJ16" s="152" t="str">
        <f t="shared" si="28"/>
        <v>NA</v>
      </c>
      <c r="AK16" s="154" t="str">
        <f t="shared" si="29"/>
        <v>NA</v>
      </c>
      <c r="AL16" s="154" t="str">
        <f t="shared" si="30"/>
        <v>NA</v>
      </c>
      <c r="AM16" s="154" t="str">
        <f t="shared" si="31"/>
        <v>NA</v>
      </c>
      <c r="AN16" s="154" t="str">
        <f t="shared" si="32"/>
        <v>NA</v>
      </c>
      <c r="AO16" s="154" t="str">
        <f t="shared" si="33"/>
        <v>NA</v>
      </c>
      <c r="AP16" s="154" t="str">
        <f t="shared" si="34"/>
        <v>NA</v>
      </c>
      <c r="AR16" s="108">
        <v>109</v>
      </c>
      <c r="AS16" s="103" t="s">
        <v>253</v>
      </c>
      <c r="AT16" s="141">
        <f t="shared" si="35"/>
        <v>0</v>
      </c>
      <c r="AU16" s="152" t="str">
        <f t="shared" si="36"/>
        <v>NA</v>
      </c>
      <c r="AV16" s="152" t="str">
        <f t="shared" si="37"/>
        <v>NA</v>
      </c>
      <c r="AW16" s="152" t="str">
        <f t="shared" si="38"/>
        <v>NA</v>
      </c>
      <c r="AX16" s="152" t="str">
        <f t="shared" si="39"/>
        <v>NA</v>
      </c>
      <c r="AY16" s="152" t="str">
        <f t="shared" si="40"/>
        <v>NA</v>
      </c>
      <c r="AZ16" s="141">
        <f t="shared" si="41"/>
        <v>0</v>
      </c>
      <c r="BA16" s="152" t="str">
        <f t="shared" si="42"/>
        <v>NA</v>
      </c>
      <c r="BB16" s="152" t="str">
        <f t="shared" si="43"/>
        <v>NA</v>
      </c>
      <c r="BC16" s="152" t="str">
        <f t="shared" si="44"/>
        <v>NA</v>
      </c>
      <c r="BD16" s="152" t="str">
        <f t="shared" si="45"/>
        <v>NA</v>
      </c>
      <c r="BE16" s="152" t="str">
        <f t="shared" si="46"/>
        <v>NA</v>
      </c>
      <c r="BF16" s="154" t="str">
        <f t="shared" si="47"/>
        <v>NA</v>
      </c>
      <c r="BG16" s="154" t="str">
        <f t="shared" si="48"/>
        <v>NA</v>
      </c>
      <c r="BH16" s="154" t="str">
        <f t="shared" si="49"/>
        <v>NA</v>
      </c>
      <c r="BI16" s="154" t="str">
        <f t="shared" si="50"/>
        <v>NA</v>
      </c>
      <c r="BJ16" s="154" t="str">
        <f t="shared" si="51"/>
        <v>NA</v>
      </c>
      <c r="BK16" s="154" t="str">
        <f t="shared" si="52"/>
        <v>NA</v>
      </c>
    </row>
    <row r="17" spans="2:63" x14ac:dyDescent="0.35">
      <c r="B17" s="102">
        <v>110</v>
      </c>
      <c r="C17" s="103" t="s">
        <v>294</v>
      </c>
      <c r="D17" s="141">
        <f t="shared" si="0"/>
        <v>0</v>
      </c>
      <c r="E17" s="152" t="str">
        <f t="shared" si="1"/>
        <v>NA</v>
      </c>
      <c r="F17" s="152" t="str">
        <f t="shared" si="2"/>
        <v>NA</v>
      </c>
      <c r="G17" s="152" t="str">
        <f t="shared" si="3"/>
        <v>NA</v>
      </c>
      <c r="H17" s="152" t="str">
        <f t="shared" si="4"/>
        <v>NA</v>
      </c>
      <c r="I17" s="152" t="str">
        <f t="shared" si="5"/>
        <v>NA</v>
      </c>
      <c r="J17" s="141">
        <f t="shared" si="6"/>
        <v>0</v>
      </c>
      <c r="K17" s="152" t="str">
        <f t="shared" si="7"/>
        <v>NA</v>
      </c>
      <c r="L17" s="152" t="str">
        <f t="shared" si="8"/>
        <v>NA</v>
      </c>
      <c r="M17" s="152" t="str">
        <f t="shared" si="9"/>
        <v>NA</v>
      </c>
      <c r="N17" s="152" t="str">
        <f t="shared" si="10"/>
        <v>NA</v>
      </c>
      <c r="O17" s="152" t="str">
        <f t="shared" si="11"/>
        <v>NA</v>
      </c>
      <c r="P17" s="154" t="str">
        <f t="shared" si="12"/>
        <v>NA</v>
      </c>
      <c r="Q17" s="154" t="str">
        <f t="shared" si="13"/>
        <v>NA</v>
      </c>
      <c r="R17" s="154" t="str">
        <f t="shared" si="14"/>
        <v>NA</v>
      </c>
      <c r="S17" s="154" t="str">
        <f t="shared" si="15"/>
        <v>NA</v>
      </c>
      <c r="T17" s="154" t="str">
        <f t="shared" si="16"/>
        <v>NA</v>
      </c>
      <c r="U17" s="154" t="str">
        <f t="shared" si="53"/>
        <v>NA</v>
      </c>
      <c r="W17" s="108">
        <v>110</v>
      </c>
      <c r="X17" s="103" t="s">
        <v>294</v>
      </c>
      <c r="Y17" s="141">
        <f t="shared" si="17"/>
        <v>0</v>
      </c>
      <c r="Z17" s="152" t="str">
        <f t="shared" si="18"/>
        <v>NA</v>
      </c>
      <c r="AA17" s="152" t="str">
        <f t="shared" si="19"/>
        <v>NA</v>
      </c>
      <c r="AB17" s="152" t="str">
        <f t="shared" si="20"/>
        <v>NA</v>
      </c>
      <c r="AC17" s="152" t="str">
        <f t="shared" si="21"/>
        <v>NA</v>
      </c>
      <c r="AD17" s="152" t="str">
        <f t="shared" si="22"/>
        <v>NA</v>
      </c>
      <c r="AE17" s="141">
        <f t="shared" si="23"/>
        <v>0</v>
      </c>
      <c r="AF17" s="152" t="str">
        <f t="shared" si="24"/>
        <v>NA</v>
      </c>
      <c r="AG17" s="152" t="str">
        <f t="shared" si="25"/>
        <v>NA</v>
      </c>
      <c r="AH17" s="152" t="str">
        <f t="shared" si="26"/>
        <v>NA</v>
      </c>
      <c r="AI17" s="152" t="str">
        <f t="shared" si="27"/>
        <v>NA</v>
      </c>
      <c r="AJ17" s="152" t="str">
        <f t="shared" si="28"/>
        <v>NA</v>
      </c>
      <c r="AK17" s="154" t="str">
        <f t="shared" si="29"/>
        <v>NA</v>
      </c>
      <c r="AL17" s="154" t="str">
        <f t="shared" si="30"/>
        <v>NA</v>
      </c>
      <c r="AM17" s="154" t="str">
        <f t="shared" si="31"/>
        <v>NA</v>
      </c>
      <c r="AN17" s="154" t="str">
        <f t="shared" si="32"/>
        <v>NA</v>
      </c>
      <c r="AO17" s="154" t="str">
        <f t="shared" si="33"/>
        <v>NA</v>
      </c>
      <c r="AP17" s="154" t="str">
        <f t="shared" si="34"/>
        <v>NA</v>
      </c>
      <c r="AR17" s="108">
        <v>110</v>
      </c>
      <c r="AS17" s="103" t="s">
        <v>294</v>
      </c>
      <c r="AT17" s="141">
        <f t="shared" si="35"/>
        <v>0</v>
      </c>
      <c r="AU17" s="152" t="str">
        <f t="shared" si="36"/>
        <v>NA</v>
      </c>
      <c r="AV17" s="152" t="str">
        <f t="shared" si="37"/>
        <v>NA</v>
      </c>
      <c r="AW17" s="152" t="str">
        <f t="shared" si="38"/>
        <v>NA</v>
      </c>
      <c r="AX17" s="152" t="str">
        <f t="shared" si="39"/>
        <v>NA</v>
      </c>
      <c r="AY17" s="152" t="str">
        <f t="shared" si="40"/>
        <v>NA</v>
      </c>
      <c r="AZ17" s="141">
        <f t="shared" si="41"/>
        <v>0</v>
      </c>
      <c r="BA17" s="152" t="str">
        <f t="shared" si="42"/>
        <v>NA</v>
      </c>
      <c r="BB17" s="152" t="str">
        <f t="shared" si="43"/>
        <v>NA</v>
      </c>
      <c r="BC17" s="152" t="str">
        <f t="shared" si="44"/>
        <v>NA</v>
      </c>
      <c r="BD17" s="152" t="str">
        <f t="shared" si="45"/>
        <v>NA</v>
      </c>
      <c r="BE17" s="152" t="str">
        <f t="shared" si="46"/>
        <v>NA</v>
      </c>
      <c r="BF17" s="154" t="str">
        <f t="shared" si="47"/>
        <v>NA</v>
      </c>
      <c r="BG17" s="154" t="str">
        <f t="shared" si="48"/>
        <v>NA</v>
      </c>
      <c r="BH17" s="154" t="str">
        <f t="shared" si="49"/>
        <v>NA</v>
      </c>
      <c r="BI17" s="154" t="str">
        <f t="shared" si="50"/>
        <v>NA</v>
      </c>
      <c r="BJ17" s="154" t="str">
        <f t="shared" si="51"/>
        <v>NA</v>
      </c>
      <c r="BK17" s="154" t="str">
        <f t="shared" si="52"/>
        <v>NA</v>
      </c>
    </row>
    <row r="18" spans="2:63" x14ac:dyDescent="0.35">
      <c r="B18" s="102">
        <v>111</v>
      </c>
      <c r="C18" s="103" t="s">
        <v>254</v>
      </c>
      <c r="D18" s="141">
        <f t="shared" si="0"/>
        <v>0</v>
      </c>
      <c r="E18" s="152" t="str">
        <f t="shared" si="1"/>
        <v>NA</v>
      </c>
      <c r="F18" s="152" t="str">
        <f t="shared" si="2"/>
        <v>NA</v>
      </c>
      <c r="G18" s="152" t="str">
        <f t="shared" si="3"/>
        <v>NA</v>
      </c>
      <c r="H18" s="152" t="str">
        <f t="shared" si="4"/>
        <v>NA</v>
      </c>
      <c r="I18" s="152" t="str">
        <f t="shared" si="5"/>
        <v>NA</v>
      </c>
      <c r="J18" s="141">
        <f t="shared" si="6"/>
        <v>0</v>
      </c>
      <c r="K18" s="152" t="str">
        <f t="shared" si="7"/>
        <v>NA</v>
      </c>
      <c r="L18" s="152" t="str">
        <f t="shared" si="8"/>
        <v>NA</v>
      </c>
      <c r="M18" s="152" t="str">
        <f t="shared" si="9"/>
        <v>NA</v>
      </c>
      <c r="N18" s="152" t="str">
        <f t="shared" si="10"/>
        <v>NA</v>
      </c>
      <c r="O18" s="152" t="str">
        <f t="shared" si="11"/>
        <v>NA</v>
      </c>
      <c r="P18" s="154" t="str">
        <f t="shared" si="12"/>
        <v>NA</v>
      </c>
      <c r="Q18" s="154" t="str">
        <f t="shared" si="13"/>
        <v>NA</v>
      </c>
      <c r="R18" s="154" t="str">
        <f t="shared" si="14"/>
        <v>NA</v>
      </c>
      <c r="S18" s="154" t="str">
        <f t="shared" si="15"/>
        <v>NA</v>
      </c>
      <c r="T18" s="154" t="str">
        <f t="shared" si="16"/>
        <v>NA</v>
      </c>
      <c r="U18" s="154" t="str">
        <f t="shared" si="53"/>
        <v>NA</v>
      </c>
      <c r="W18" s="108">
        <v>111</v>
      </c>
      <c r="X18" s="103" t="s">
        <v>254</v>
      </c>
      <c r="Y18" s="141">
        <f t="shared" si="17"/>
        <v>0</v>
      </c>
      <c r="Z18" s="152" t="str">
        <f t="shared" si="18"/>
        <v>NA</v>
      </c>
      <c r="AA18" s="152" t="str">
        <f t="shared" si="19"/>
        <v>NA</v>
      </c>
      <c r="AB18" s="152" t="str">
        <f t="shared" si="20"/>
        <v>NA</v>
      </c>
      <c r="AC18" s="152" t="str">
        <f t="shared" si="21"/>
        <v>NA</v>
      </c>
      <c r="AD18" s="152" t="str">
        <f t="shared" si="22"/>
        <v>NA</v>
      </c>
      <c r="AE18" s="141">
        <f t="shared" si="23"/>
        <v>0</v>
      </c>
      <c r="AF18" s="152" t="str">
        <f t="shared" si="24"/>
        <v>NA</v>
      </c>
      <c r="AG18" s="152" t="str">
        <f t="shared" si="25"/>
        <v>NA</v>
      </c>
      <c r="AH18" s="152" t="str">
        <f t="shared" si="26"/>
        <v>NA</v>
      </c>
      <c r="AI18" s="152" t="str">
        <f t="shared" si="27"/>
        <v>NA</v>
      </c>
      <c r="AJ18" s="152" t="str">
        <f t="shared" si="28"/>
        <v>NA</v>
      </c>
      <c r="AK18" s="154" t="str">
        <f t="shared" si="29"/>
        <v>NA</v>
      </c>
      <c r="AL18" s="154" t="str">
        <f t="shared" si="30"/>
        <v>NA</v>
      </c>
      <c r="AM18" s="154" t="str">
        <f t="shared" si="31"/>
        <v>NA</v>
      </c>
      <c r="AN18" s="154" t="str">
        <f t="shared" si="32"/>
        <v>NA</v>
      </c>
      <c r="AO18" s="154" t="str">
        <f t="shared" si="33"/>
        <v>NA</v>
      </c>
      <c r="AP18" s="154" t="str">
        <f t="shared" si="34"/>
        <v>NA</v>
      </c>
      <c r="AR18" s="108">
        <v>111</v>
      </c>
      <c r="AS18" s="103" t="s">
        <v>254</v>
      </c>
      <c r="AT18" s="141">
        <f t="shared" si="35"/>
        <v>0</v>
      </c>
      <c r="AU18" s="152" t="str">
        <f t="shared" si="36"/>
        <v>NA</v>
      </c>
      <c r="AV18" s="152" t="str">
        <f t="shared" si="37"/>
        <v>NA</v>
      </c>
      <c r="AW18" s="152" t="str">
        <f t="shared" si="38"/>
        <v>NA</v>
      </c>
      <c r="AX18" s="152" t="str">
        <f t="shared" si="39"/>
        <v>NA</v>
      </c>
      <c r="AY18" s="152" t="str">
        <f t="shared" si="40"/>
        <v>NA</v>
      </c>
      <c r="AZ18" s="141">
        <f t="shared" si="41"/>
        <v>0</v>
      </c>
      <c r="BA18" s="152" t="str">
        <f t="shared" si="42"/>
        <v>NA</v>
      </c>
      <c r="BB18" s="152" t="str">
        <f t="shared" si="43"/>
        <v>NA</v>
      </c>
      <c r="BC18" s="152" t="str">
        <f t="shared" si="44"/>
        <v>NA</v>
      </c>
      <c r="BD18" s="152" t="str">
        <f t="shared" si="45"/>
        <v>NA</v>
      </c>
      <c r="BE18" s="152" t="str">
        <f t="shared" si="46"/>
        <v>NA</v>
      </c>
      <c r="BF18" s="154" t="str">
        <f t="shared" si="47"/>
        <v>NA</v>
      </c>
      <c r="BG18" s="154" t="str">
        <f t="shared" si="48"/>
        <v>NA</v>
      </c>
      <c r="BH18" s="154" t="str">
        <f t="shared" si="49"/>
        <v>NA</v>
      </c>
      <c r="BI18" s="154" t="str">
        <f t="shared" si="50"/>
        <v>NA</v>
      </c>
      <c r="BJ18" s="154" t="str">
        <f t="shared" si="51"/>
        <v>NA</v>
      </c>
      <c r="BK18" s="154" t="str">
        <f t="shared" si="52"/>
        <v>NA</v>
      </c>
    </row>
    <row r="19" spans="2:63" x14ac:dyDescent="0.35">
      <c r="B19" s="102">
        <v>999</v>
      </c>
      <c r="C19" s="103" t="s">
        <v>42</v>
      </c>
      <c r="D19" s="141">
        <f t="shared" si="0"/>
        <v>0</v>
      </c>
      <c r="E19" s="152" t="str">
        <f t="shared" si="1"/>
        <v>NA</v>
      </c>
      <c r="F19" s="152" t="str">
        <f t="shared" si="2"/>
        <v>NA</v>
      </c>
      <c r="G19" s="152" t="str">
        <f t="shared" si="3"/>
        <v>NA</v>
      </c>
      <c r="H19" s="152" t="str">
        <f t="shared" si="4"/>
        <v>NA</v>
      </c>
      <c r="I19" s="152" t="str">
        <f t="shared" si="5"/>
        <v>NA</v>
      </c>
      <c r="J19" s="141">
        <f t="shared" si="6"/>
        <v>0</v>
      </c>
      <c r="K19" s="152" t="str">
        <f t="shared" si="7"/>
        <v>NA</v>
      </c>
      <c r="L19" s="152" t="str">
        <f t="shared" si="8"/>
        <v>NA</v>
      </c>
      <c r="M19" s="152" t="str">
        <f t="shared" si="9"/>
        <v>NA</v>
      </c>
      <c r="N19" s="152" t="str">
        <f t="shared" si="10"/>
        <v>NA</v>
      </c>
      <c r="O19" s="152" t="str">
        <f t="shared" si="11"/>
        <v>NA</v>
      </c>
      <c r="P19" s="154" t="str">
        <f t="shared" si="12"/>
        <v>NA</v>
      </c>
      <c r="Q19" s="154" t="str">
        <f t="shared" si="13"/>
        <v>NA</v>
      </c>
      <c r="R19" s="154" t="str">
        <f t="shared" si="14"/>
        <v>NA</v>
      </c>
      <c r="S19" s="154" t="str">
        <f t="shared" si="15"/>
        <v>NA</v>
      </c>
      <c r="T19" s="154" t="str">
        <f t="shared" si="16"/>
        <v>NA</v>
      </c>
      <c r="U19" s="154" t="str">
        <f t="shared" si="53"/>
        <v>NA</v>
      </c>
      <c r="W19" s="108">
        <v>999</v>
      </c>
      <c r="X19" s="103" t="s">
        <v>42</v>
      </c>
      <c r="Y19" s="141">
        <f t="shared" si="17"/>
        <v>0</v>
      </c>
      <c r="Z19" s="152" t="str">
        <f t="shared" si="18"/>
        <v>NA</v>
      </c>
      <c r="AA19" s="152" t="str">
        <f t="shared" si="19"/>
        <v>NA</v>
      </c>
      <c r="AB19" s="152" t="str">
        <f t="shared" si="20"/>
        <v>NA</v>
      </c>
      <c r="AC19" s="152" t="str">
        <f t="shared" si="21"/>
        <v>NA</v>
      </c>
      <c r="AD19" s="152" t="str">
        <f t="shared" si="22"/>
        <v>NA</v>
      </c>
      <c r="AE19" s="141">
        <f t="shared" si="23"/>
        <v>0</v>
      </c>
      <c r="AF19" s="152" t="str">
        <f t="shared" si="24"/>
        <v>NA</v>
      </c>
      <c r="AG19" s="152" t="str">
        <f t="shared" si="25"/>
        <v>NA</v>
      </c>
      <c r="AH19" s="152" t="str">
        <f t="shared" si="26"/>
        <v>NA</v>
      </c>
      <c r="AI19" s="152" t="str">
        <f t="shared" si="27"/>
        <v>NA</v>
      </c>
      <c r="AJ19" s="152" t="str">
        <f t="shared" si="28"/>
        <v>NA</v>
      </c>
      <c r="AK19" s="154" t="str">
        <f t="shared" si="29"/>
        <v>NA</v>
      </c>
      <c r="AL19" s="154" t="str">
        <f t="shared" si="30"/>
        <v>NA</v>
      </c>
      <c r="AM19" s="154" t="str">
        <f t="shared" si="31"/>
        <v>NA</v>
      </c>
      <c r="AN19" s="154" t="str">
        <f t="shared" si="32"/>
        <v>NA</v>
      </c>
      <c r="AO19" s="154" t="str">
        <f t="shared" si="33"/>
        <v>NA</v>
      </c>
      <c r="AP19" s="154" t="str">
        <f t="shared" si="34"/>
        <v>NA</v>
      </c>
      <c r="AR19" s="108">
        <v>999</v>
      </c>
      <c r="AS19" s="103" t="s">
        <v>42</v>
      </c>
      <c r="AT19" s="141">
        <f t="shared" si="35"/>
        <v>0</v>
      </c>
      <c r="AU19" s="152" t="str">
        <f t="shared" si="36"/>
        <v>NA</v>
      </c>
      <c r="AV19" s="152" t="str">
        <f t="shared" si="37"/>
        <v>NA</v>
      </c>
      <c r="AW19" s="152" t="str">
        <f t="shared" si="38"/>
        <v>NA</v>
      </c>
      <c r="AX19" s="152" t="str">
        <f t="shared" si="39"/>
        <v>NA</v>
      </c>
      <c r="AY19" s="152" t="str">
        <f t="shared" si="40"/>
        <v>NA</v>
      </c>
      <c r="AZ19" s="141">
        <f t="shared" si="41"/>
        <v>0</v>
      </c>
      <c r="BA19" s="152" t="str">
        <f t="shared" si="42"/>
        <v>NA</v>
      </c>
      <c r="BB19" s="152" t="str">
        <f t="shared" si="43"/>
        <v>NA</v>
      </c>
      <c r="BC19" s="152" t="str">
        <f t="shared" si="44"/>
        <v>NA</v>
      </c>
      <c r="BD19" s="152" t="str">
        <f t="shared" si="45"/>
        <v>NA</v>
      </c>
      <c r="BE19" s="152" t="str">
        <f t="shared" si="46"/>
        <v>NA</v>
      </c>
      <c r="BF19" s="154" t="str">
        <f t="shared" si="47"/>
        <v>NA</v>
      </c>
      <c r="BG19" s="154" t="str">
        <f t="shared" si="48"/>
        <v>NA</v>
      </c>
      <c r="BH19" s="154" t="str">
        <f t="shared" si="49"/>
        <v>NA</v>
      </c>
      <c r="BI19" s="154" t="str">
        <f t="shared" si="50"/>
        <v>NA</v>
      </c>
      <c r="BJ19" s="154" t="str">
        <f t="shared" si="51"/>
        <v>NA</v>
      </c>
      <c r="BK19" s="154" t="str">
        <f t="shared" si="52"/>
        <v>NA</v>
      </c>
    </row>
    <row r="20" spans="2:63" x14ac:dyDescent="0.35">
      <c r="B20" s="79"/>
      <c r="C20" s="79" t="s">
        <v>245</v>
      </c>
      <c r="D20" s="151">
        <f>SUM(D8:D19)</f>
        <v>0</v>
      </c>
      <c r="E20" s="153" t="str">
        <f t="shared" si="1"/>
        <v>NA</v>
      </c>
      <c r="F20" s="153" t="str">
        <f t="shared" si="2"/>
        <v>NA</v>
      </c>
      <c r="G20" s="153" t="str">
        <f t="shared" si="3"/>
        <v>NA</v>
      </c>
      <c r="H20" s="153" t="str">
        <f t="shared" si="4"/>
        <v>NA</v>
      </c>
      <c r="I20" s="153" t="str">
        <f>IF(D20=0,"NA",(SUMPRODUCT(I39,D39)+SUMPRODUCT(I58,D58))/D20)</f>
        <v>NA</v>
      </c>
      <c r="J20" s="151">
        <f>SUM(J8:J19)</f>
        <v>0</v>
      </c>
      <c r="K20" s="153" t="str">
        <f t="shared" si="7"/>
        <v>NA</v>
      </c>
      <c r="L20" s="153" t="str">
        <f t="shared" si="8"/>
        <v>NA</v>
      </c>
      <c r="M20" s="153" t="str">
        <f t="shared" si="9"/>
        <v>NA</v>
      </c>
      <c r="N20" s="153" t="str">
        <f t="shared" si="10"/>
        <v>NA</v>
      </c>
      <c r="O20" s="153" t="str">
        <f>IF(J20=0,"NA",(SUMPRODUCT(O39,J39)+SUMPRODUCT(O58,N58))/J20)</f>
        <v>NA</v>
      </c>
      <c r="P20" s="155" t="str">
        <f t="shared" si="12"/>
        <v>NA</v>
      </c>
      <c r="Q20" s="155" t="str">
        <f t="shared" si="13"/>
        <v>NA</v>
      </c>
      <c r="R20" s="155" t="str">
        <f t="shared" si="14"/>
        <v>NA</v>
      </c>
      <c r="S20" s="155" t="str">
        <f t="shared" si="15"/>
        <v>NA</v>
      </c>
      <c r="T20" s="155" t="str">
        <f t="shared" si="16"/>
        <v>NA</v>
      </c>
      <c r="U20" s="155" t="str">
        <f t="shared" si="53"/>
        <v>NA</v>
      </c>
      <c r="W20" s="79"/>
      <c r="X20" s="79" t="s">
        <v>245</v>
      </c>
      <c r="Y20" s="151">
        <f>SUM(Y8:Y19)</f>
        <v>0</v>
      </c>
      <c r="Z20" s="153" t="str">
        <f t="shared" si="18"/>
        <v>NA</v>
      </c>
      <c r="AA20" s="153" t="str">
        <f t="shared" si="19"/>
        <v>NA</v>
      </c>
      <c r="AB20" s="153" t="str">
        <f t="shared" si="20"/>
        <v>NA</v>
      </c>
      <c r="AC20" s="153" t="str">
        <f t="shared" si="21"/>
        <v>NA</v>
      </c>
      <c r="AD20" s="153" t="str">
        <f>IF(Y20=0,"NA",(SUMPRODUCT(AD39,Y39)+SUMPRODUCT(AD58,AC58))/Y20)</f>
        <v>NA</v>
      </c>
      <c r="AE20" s="151">
        <f>SUM(AE8:AE19)</f>
        <v>0</v>
      </c>
      <c r="AF20" s="153" t="str">
        <f t="shared" si="24"/>
        <v>NA</v>
      </c>
      <c r="AG20" s="153" t="str">
        <f t="shared" si="25"/>
        <v>NA</v>
      </c>
      <c r="AH20" s="153" t="str">
        <f t="shared" si="26"/>
        <v>NA</v>
      </c>
      <c r="AI20" s="153" t="str">
        <f t="shared" si="27"/>
        <v>NA</v>
      </c>
      <c r="AJ20" s="153" t="str">
        <f>IF(AE20=0,"NA",(SUMPRODUCT(AJ39,AE39)+SUMPRODUCT(AJ58,AI58))/AE20)</f>
        <v>NA</v>
      </c>
      <c r="AK20" s="155" t="str">
        <f t="shared" si="29"/>
        <v>NA</v>
      </c>
      <c r="AL20" s="155" t="str">
        <f t="shared" si="30"/>
        <v>NA</v>
      </c>
      <c r="AM20" s="155" t="str">
        <f t="shared" si="31"/>
        <v>NA</v>
      </c>
      <c r="AN20" s="155" t="str">
        <f t="shared" si="32"/>
        <v>NA</v>
      </c>
      <c r="AO20" s="155" t="str">
        <f t="shared" si="33"/>
        <v>NA</v>
      </c>
      <c r="AP20" s="155" t="str">
        <f t="shared" si="34"/>
        <v>NA</v>
      </c>
      <c r="AR20" s="79"/>
      <c r="AS20" s="79" t="s">
        <v>245</v>
      </c>
      <c r="AT20" s="151">
        <f>SUM(AT8:AT19)</f>
        <v>0</v>
      </c>
      <c r="AU20" s="153" t="str">
        <f t="shared" si="36"/>
        <v>NA</v>
      </c>
      <c r="AV20" s="153" t="str">
        <f t="shared" si="37"/>
        <v>NA</v>
      </c>
      <c r="AW20" s="153" t="str">
        <f t="shared" si="38"/>
        <v>NA</v>
      </c>
      <c r="AX20" s="153" t="str">
        <f t="shared" si="39"/>
        <v>NA</v>
      </c>
      <c r="AY20" s="153" t="str">
        <f>IF(AT20=0,"NA",(SUMPRODUCT(AY39,AT39)+SUMPRODUCT(AY58,AT58))/AT20)</f>
        <v>NA</v>
      </c>
      <c r="AZ20" s="151">
        <f>SUM(AZ8:AZ19)</f>
        <v>0</v>
      </c>
      <c r="BA20" s="153" t="str">
        <f t="shared" si="42"/>
        <v>NA</v>
      </c>
      <c r="BB20" s="153" t="str">
        <f t="shared" si="43"/>
        <v>NA</v>
      </c>
      <c r="BC20" s="153" t="str">
        <f t="shared" si="44"/>
        <v>NA</v>
      </c>
      <c r="BD20" s="153" t="str">
        <f t="shared" si="45"/>
        <v>NA</v>
      </c>
      <c r="BE20" s="153" t="str">
        <f>IF(AZ20=0,"NA",(SUMPRODUCT(BE39,AZ39)+SUMPRODUCT(BE58,AZ58))/AZ20)</f>
        <v>NA</v>
      </c>
      <c r="BF20" s="155" t="str">
        <f t="shared" si="47"/>
        <v>NA</v>
      </c>
      <c r="BG20" s="155" t="str">
        <f t="shared" si="48"/>
        <v>NA</v>
      </c>
      <c r="BH20" s="155" t="str">
        <f t="shared" si="49"/>
        <v>NA</v>
      </c>
      <c r="BI20" s="155" t="str">
        <f t="shared" si="50"/>
        <v>NA</v>
      </c>
      <c r="BJ20" s="155" t="str">
        <f t="shared" si="51"/>
        <v>NA</v>
      </c>
      <c r="BK20" s="155" t="str">
        <f t="shared" si="52"/>
        <v>NA</v>
      </c>
    </row>
    <row r="21" spans="2:63" x14ac:dyDescent="0.35">
      <c r="B21" s="79"/>
      <c r="C21" s="79" t="s">
        <v>246</v>
      </c>
      <c r="D21" s="151">
        <f>D20</f>
        <v>0</v>
      </c>
      <c r="E21" s="153" t="str">
        <f t="shared" si="1"/>
        <v>NA</v>
      </c>
      <c r="F21" s="153" t="str">
        <f t="shared" si="2"/>
        <v>NA</v>
      </c>
      <c r="G21" s="153" t="str">
        <f t="shared" si="3"/>
        <v>NA</v>
      </c>
      <c r="H21" s="153" t="str">
        <f t="shared" si="4"/>
        <v>NA</v>
      </c>
      <c r="I21" s="153" t="str">
        <f>IF(D21=0,"NA",(SUMPRODUCT(I40,D40)+SUMPRODUCT(I59,D59))/D21)</f>
        <v>NA</v>
      </c>
      <c r="J21" s="151">
        <f>J20</f>
        <v>0</v>
      </c>
      <c r="K21" s="153" t="str">
        <f t="shared" si="7"/>
        <v>NA</v>
      </c>
      <c r="L21" s="153" t="str">
        <f t="shared" si="8"/>
        <v>NA</v>
      </c>
      <c r="M21" s="153" t="str">
        <f t="shared" si="9"/>
        <v>NA</v>
      </c>
      <c r="N21" s="153" t="str">
        <f t="shared" si="10"/>
        <v>NA</v>
      </c>
      <c r="O21" s="153" t="str">
        <f>IF(J21=0,"NA",(SUMPRODUCT(O40,J40)+SUMPRODUCT(O59,N59))/J21)</f>
        <v>NA</v>
      </c>
      <c r="P21" s="155" t="str">
        <f t="shared" si="12"/>
        <v>NA</v>
      </c>
      <c r="Q21" s="155" t="str">
        <f t="shared" si="13"/>
        <v>NA</v>
      </c>
      <c r="R21" s="155" t="str">
        <f t="shared" si="14"/>
        <v>NA</v>
      </c>
      <c r="S21" s="155" t="str">
        <f t="shared" si="15"/>
        <v>NA</v>
      </c>
      <c r="T21" s="155" t="str">
        <f t="shared" si="16"/>
        <v>NA</v>
      </c>
      <c r="U21" s="155" t="str">
        <f t="shared" si="53"/>
        <v>NA</v>
      </c>
      <c r="W21" s="79"/>
      <c r="X21" s="79" t="s">
        <v>246</v>
      </c>
      <c r="Y21" s="151">
        <f>Y20</f>
        <v>0</v>
      </c>
      <c r="Z21" s="153" t="str">
        <f t="shared" si="18"/>
        <v>NA</v>
      </c>
      <c r="AA21" s="153" t="str">
        <f t="shared" si="19"/>
        <v>NA</v>
      </c>
      <c r="AB21" s="153" t="str">
        <f t="shared" si="20"/>
        <v>NA</v>
      </c>
      <c r="AC21" s="153" t="str">
        <f t="shared" si="21"/>
        <v>NA</v>
      </c>
      <c r="AD21" s="153" t="str">
        <f>IF(Y21=0,"NA",(SUMPRODUCT(AD40,Y40)+SUMPRODUCT(AD59,AC59))/Y21)</f>
        <v>NA</v>
      </c>
      <c r="AE21" s="151">
        <f>AE20</f>
        <v>0</v>
      </c>
      <c r="AF21" s="153" t="str">
        <f t="shared" si="24"/>
        <v>NA</v>
      </c>
      <c r="AG21" s="153" t="str">
        <f t="shared" si="25"/>
        <v>NA</v>
      </c>
      <c r="AH21" s="153" t="str">
        <f t="shared" si="26"/>
        <v>NA</v>
      </c>
      <c r="AI21" s="153" t="str">
        <f t="shared" si="27"/>
        <v>NA</v>
      </c>
      <c r="AJ21" s="153" t="str">
        <f>IF(AE21=0,"NA",(SUMPRODUCT(AJ40,AE40)+SUMPRODUCT(AJ59,AI59))/AE21)</f>
        <v>NA</v>
      </c>
      <c r="AK21" s="155" t="str">
        <f t="shared" si="29"/>
        <v>NA</v>
      </c>
      <c r="AL21" s="155" t="str">
        <f t="shared" si="30"/>
        <v>NA</v>
      </c>
      <c r="AM21" s="155" t="str">
        <f t="shared" si="31"/>
        <v>NA</v>
      </c>
      <c r="AN21" s="155" t="str">
        <f t="shared" si="32"/>
        <v>NA</v>
      </c>
      <c r="AO21" s="155" t="str">
        <f t="shared" si="33"/>
        <v>NA</v>
      </c>
      <c r="AP21" s="155" t="str">
        <f t="shared" si="34"/>
        <v>NA</v>
      </c>
      <c r="AR21" s="79"/>
      <c r="AS21" s="79" t="s">
        <v>246</v>
      </c>
      <c r="AT21" s="151">
        <f>AT20</f>
        <v>0</v>
      </c>
      <c r="AU21" s="153" t="str">
        <f t="shared" si="36"/>
        <v>NA</v>
      </c>
      <c r="AV21" s="153" t="str">
        <f t="shared" si="37"/>
        <v>NA</v>
      </c>
      <c r="AW21" s="153" t="str">
        <f t="shared" si="38"/>
        <v>NA</v>
      </c>
      <c r="AX21" s="153" t="str">
        <f t="shared" si="39"/>
        <v>NA</v>
      </c>
      <c r="AY21" s="153" t="str">
        <f>IF(AT21=0,"NA",(SUMPRODUCT(AY40,AT40)+SUMPRODUCT(AY59,AT59))/AT21)</f>
        <v>NA</v>
      </c>
      <c r="AZ21" s="151">
        <f>AZ20</f>
        <v>0</v>
      </c>
      <c r="BA21" s="153" t="str">
        <f t="shared" si="42"/>
        <v>NA</v>
      </c>
      <c r="BB21" s="153" t="str">
        <f t="shared" si="43"/>
        <v>NA</v>
      </c>
      <c r="BC21" s="153" t="str">
        <f t="shared" si="44"/>
        <v>NA</v>
      </c>
      <c r="BD21" s="153" t="str">
        <f t="shared" si="45"/>
        <v>NA</v>
      </c>
      <c r="BE21" s="153" t="str">
        <f>IF(AZ21=0,"NA",(SUMPRODUCT(BE40,AZ40)+SUMPRODUCT(BE59,AZ59))/AZ21)</f>
        <v>NA</v>
      </c>
      <c r="BF21" s="155" t="str">
        <f t="shared" si="47"/>
        <v>NA</v>
      </c>
      <c r="BG21" s="155" t="str">
        <f t="shared" si="48"/>
        <v>NA</v>
      </c>
      <c r="BH21" s="155" t="str">
        <f t="shared" si="49"/>
        <v>NA</v>
      </c>
      <c r="BI21" s="155" t="str">
        <f t="shared" si="50"/>
        <v>NA</v>
      </c>
      <c r="BJ21" s="155" t="str">
        <f t="shared" si="51"/>
        <v>NA</v>
      </c>
      <c r="BK21" s="155" t="str">
        <f t="shared" si="52"/>
        <v>NA</v>
      </c>
    </row>
    <row r="23" spans="2:63" x14ac:dyDescent="0.35">
      <c r="B23" s="71" t="s">
        <v>337</v>
      </c>
      <c r="W23" s="71" t="s">
        <v>336</v>
      </c>
      <c r="AR23" s="71" t="s">
        <v>335</v>
      </c>
    </row>
    <row r="24" spans="2:63" x14ac:dyDescent="0.35">
      <c r="B24" s="70" t="s">
        <v>307</v>
      </c>
      <c r="W24" s="70" t="s">
        <v>307</v>
      </c>
      <c r="AR24" s="70" t="s">
        <v>307</v>
      </c>
    </row>
    <row r="25" spans="2:63" ht="15" customHeight="1" x14ac:dyDescent="0.35">
      <c r="B25" s="223" t="s">
        <v>300</v>
      </c>
      <c r="C25" s="225"/>
      <c r="D25" s="223">
        <v>2018</v>
      </c>
      <c r="E25" s="224"/>
      <c r="F25" s="224"/>
      <c r="G25" s="224"/>
      <c r="H25" s="224"/>
      <c r="I25" s="225"/>
      <c r="J25" s="223">
        <v>2019</v>
      </c>
      <c r="K25" s="224"/>
      <c r="L25" s="224"/>
      <c r="M25" s="224"/>
      <c r="N25" s="224"/>
      <c r="O25" s="225"/>
      <c r="P25" s="223" t="s">
        <v>287</v>
      </c>
      <c r="Q25" s="224"/>
      <c r="R25" s="224"/>
      <c r="S25" s="224"/>
      <c r="T25" s="224"/>
      <c r="U25" s="225"/>
      <c r="W25" s="223" t="s">
        <v>300</v>
      </c>
      <c r="X25" s="225"/>
      <c r="Y25" s="223">
        <v>2019</v>
      </c>
      <c r="Z25" s="224"/>
      <c r="AA25" s="224"/>
      <c r="AB25" s="224"/>
      <c r="AC25" s="224"/>
      <c r="AD25" s="225"/>
      <c r="AE25" s="223">
        <v>2020</v>
      </c>
      <c r="AF25" s="224"/>
      <c r="AG25" s="224"/>
      <c r="AH25" s="224"/>
      <c r="AI25" s="224"/>
      <c r="AJ25" s="225"/>
      <c r="AK25" s="223" t="s">
        <v>288</v>
      </c>
      <c r="AL25" s="224"/>
      <c r="AM25" s="224"/>
      <c r="AN25" s="224"/>
      <c r="AO25" s="224"/>
      <c r="AP25" s="225"/>
      <c r="AR25" s="223" t="s">
        <v>300</v>
      </c>
      <c r="AS25" s="225"/>
      <c r="AT25" s="223">
        <v>2020</v>
      </c>
      <c r="AU25" s="224"/>
      <c r="AV25" s="224"/>
      <c r="AW25" s="224"/>
      <c r="AX25" s="224"/>
      <c r="AY25" s="225"/>
      <c r="AZ25" s="223">
        <v>2021</v>
      </c>
      <c r="BA25" s="224"/>
      <c r="BB25" s="224"/>
      <c r="BC25" s="224"/>
      <c r="BD25" s="224"/>
      <c r="BE25" s="225"/>
      <c r="BF25" s="223" t="s">
        <v>289</v>
      </c>
      <c r="BG25" s="224"/>
      <c r="BH25" s="224"/>
      <c r="BI25" s="224"/>
      <c r="BJ25" s="224"/>
      <c r="BK25" s="225"/>
    </row>
    <row r="26" spans="2:63" ht="43.5" x14ac:dyDescent="0.35">
      <c r="B26" s="95" t="s">
        <v>241</v>
      </c>
      <c r="C26" s="95" t="s">
        <v>242</v>
      </c>
      <c r="D26" s="95" t="s">
        <v>90</v>
      </c>
      <c r="E26" s="95" t="s">
        <v>267</v>
      </c>
      <c r="F26" s="95" t="s">
        <v>268</v>
      </c>
      <c r="G26" s="95" t="s">
        <v>243</v>
      </c>
      <c r="H26" s="95" t="s">
        <v>269</v>
      </c>
      <c r="I26" s="95" t="s">
        <v>244</v>
      </c>
      <c r="J26" s="95" t="s">
        <v>90</v>
      </c>
      <c r="K26" s="95" t="s">
        <v>267</v>
      </c>
      <c r="L26" s="95" t="s">
        <v>268</v>
      </c>
      <c r="M26" s="95" t="s">
        <v>243</v>
      </c>
      <c r="N26" s="95" t="s">
        <v>269</v>
      </c>
      <c r="O26" s="95" t="s">
        <v>244</v>
      </c>
      <c r="P26" s="95" t="s">
        <v>90</v>
      </c>
      <c r="Q26" s="95" t="s">
        <v>267</v>
      </c>
      <c r="R26" s="95" t="s">
        <v>268</v>
      </c>
      <c r="S26" s="95" t="s">
        <v>243</v>
      </c>
      <c r="T26" s="95" t="s">
        <v>269</v>
      </c>
      <c r="U26" s="95" t="s">
        <v>244</v>
      </c>
      <c r="W26" s="95" t="s">
        <v>241</v>
      </c>
      <c r="X26" s="95" t="s">
        <v>242</v>
      </c>
      <c r="Y26" s="95" t="s">
        <v>90</v>
      </c>
      <c r="Z26" s="95" t="s">
        <v>267</v>
      </c>
      <c r="AA26" s="95" t="s">
        <v>268</v>
      </c>
      <c r="AB26" s="95" t="s">
        <v>243</v>
      </c>
      <c r="AC26" s="95" t="s">
        <v>269</v>
      </c>
      <c r="AD26" s="95" t="s">
        <v>244</v>
      </c>
      <c r="AE26" s="95" t="s">
        <v>90</v>
      </c>
      <c r="AF26" s="95" t="s">
        <v>267</v>
      </c>
      <c r="AG26" s="95" t="s">
        <v>268</v>
      </c>
      <c r="AH26" s="95" t="s">
        <v>243</v>
      </c>
      <c r="AI26" s="95" t="s">
        <v>269</v>
      </c>
      <c r="AJ26" s="95" t="s">
        <v>244</v>
      </c>
      <c r="AK26" s="95" t="s">
        <v>90</v>
      </c>
      <c r="AL26" s="95" t="s">
        <v>267</v>
      </c>
      <c r="AM26" s="95" t="s">
        <v>268</v>
      </c>
      <c r="AN26" s="95" t="s">
        <v>243</v>
      </c>
      <c r="AO26" s="95" t="s">
        <v>269</v>
      </c>
      <c r="AP26" s="95" t="s">
        <v>244</v>
      </c>
      <c r="AR26" s="95" t="s">
        <v>241</v>
      </c>
      <c r="AS26" s="95" t="s">
        <v>242</v>
      </c>
      <c r="AT26" s="95" t="s">
        <v>90</v>
      </c>
      <c r="AU26" s="95" t="s">
        <v>267</v>
      </c>
      <c r="AV26" s="95" t="s">
        <v>268</v>
      </c>
      <c r="AW26" s="95" t="s">
        <v>243</v>
      </c>
      <c r="AX26" s="95" t="s">
        <v>269</v>
      </c>
      <c r="AY26" s="95" t="s">
        <v>244</v>
      </c>
      <c r="AZ26" s="95" t="s">
        <v>90</v>
      </c>
      <c r="BA26" s="95" t="s">
        <v>267</v>
      </c>
      <c r="BB26" s="95" t="s">
        <v>268</v>
      </c>
      <c r="BC26" s="95" t="s">
        <v>243</v>
      </c>
      <c r="BD26" s="95" t="s">
        <v>269</v>
      </c>
      <c r="BE26" s="95" t="s">
        <v>244</v>
      </c>
      <c r="BF26" s="95" t="s">
        <v>90</v>
      </c>
      <c r="BG26" s="95" t="s">
        <v>267</v>
      </c>
      <c r="BH26" s="95" t="s">
        <v>268</v>
      </c>
      <c r="BI26" s="95" t="s">
        <v>243</v>
      </c>
      <c r="BJ26" s="95" t="s">
        <v>269</v>
      </c>
      <c r="BK26" s="95" t="s">
        <v>244</v>
      </c>
    </row>
    <row r="27" spans="2:63" x14ac:dyDescent="0.35">
      <c r="B27" s="123">
        <v>101</v>
      </c>
      <c r="C27" s="103" t="s">
        <v>247</v>
      </c>
      <c r="D27" s="141">
        <f>SUMIFS(TME[[#All],[Member Months]],TME[[#All],[Reporting Year]],2018,TME[[#All],[Insurance Category Code]],3,TME[[#All],[Large Provider Entity Code]],B27)</f>
        <v>0</v>
      </c>
      <c r="E27" s="152" t="str">
        <f>IFERROR(SUMIFS(TME[[#All],[Total Non-Truncated Claims Spending]],TME[[#All],[Reporting Year]],2018,TME[[#All],[Insurance Category Code]],3,TME[[#All],[Large Provider Entity Code]],B27)/D27,"NA")</f>
        <v>NA</v>
      </c>
      <c r="F27" s="152" t="str">
        <f>IFERROR(SUMIFS(TME[[#All],[Total Truncated Claims Spending]],TME[[#All],[Reporting Year]],2018,TME[[#All],[Insurance Category Code]],3,TME[[#All],[Large Provider Entity Code]],B27)/D27,"NA")</f>
        <v>NA</v>
      </c>
      <c r="G27" s="152" t="str">
        <f>IFERROR(SUMIFS(TME[[#All],[Total Non-Claims Spending]],TME[[#All],[Reporting Year]],2018,TME[[#All],[Insurance Category Code]],3,TME[[#All],[Large Provider Entity Code]],B27)/D27,"NA")</f>
        <v>NA</v>
      </c>
      <c r="H27" s="152" t="str">
        <f>IFERROR(SUMIFS(TME[[#All],[Total Non-Truncated Claims and Non-Claims Spending]],TME[[#All],[Reporting Year]],2018,TME[[#All],[Insurance Category Code]],3,TME[[#All],[Large Provider Entity Code]],B27)/D27,"NA")</f>
        <v>NA</v>
      </c>
      <c r="I27" s="152" t="str">
        <f>IFERROR(SUMIFS(TME[[#All],[Truncated Total Expenses (Total Truncated Claims Expenses + Non-Claims Expenses)]],TME[[#All],[Reporting Year]],2018,TME[[#All],[Insurance Category Code]],3,TME[[#All],[Large Provider Entity Code]],B27)/D27,"NA")</f>
        <v>NA</v>
      </c>
      <c r="J27" s="141">
        <f>SUMIFS(TME[[#All],[Member Months]],TME[[#All],[Reporting Year]],2019,TME[[#All],[Insurance Category Code]],3,TME[[#All],[Large Provider Entity Code]],B27)</f>
        <v>0</v>
      </c>
      <c r="K27" s="152" t="str">
        <f>IFERROR(SUMIFS(TME[[#All],[Total Non-Truncated Claims Spending]],TME[[#All],[Reporting Year]],2019,TME[[#All],[Insurance Category Code]],3,TME[[#All],[Large Provider Entity Code]],B27)/J27,"NA")</f>
        <v>NA</v>
      </c>
      <c r="L27" s="152" t="str">
        <f>IFERROR(SUMIFS(TME[[#All],[Total Truncated Claims Spending]],TME[[#All],[Reporting Year]],2019,TME[[#All],[Insurance Category Code]],3,TME[[#All],[Large Provider Entity Code]],B27)/J27,"NA")</f>
        <v>NA</v>
      </c>
      <c r="M27" s="152" t="str">
        <f>IFERROR(SUMIFS(TME[[#All],[Total Non-Claims Spending]],TME[[#All],[Reporting Year]],2019,TME[[#All],[Insurance Category Code]],3,TME[[#All],[Large Provider Entity Code]],B27)/J27,"NA")</f>
        <v>NA</v>
      </c>
      <c r="N27" s="152" t="str">
        <f>IFERROR(SUMIFS(TME[[#All],[Total Non-Truncated Claims and Non-Claims Spending]],TME[[#All],[Reporting Year]],2019,TME[[#All],[Insurance Category Code]],3,TME[[#All],[Large Provider Entity Code]],B27)/J27,"NA")</f>
        <v>NA</v>
      </c>
      <c r="O27" s="152" t="str">
        <f>IFERROR(SUMIFS(TME[[#All],[Truncated Total Expenses (Total Truncated Claims Expenses + Non-Claims Expenses)]],TME[[#All],[Reporting Year]],2019,TME[[#All],[Insurance Category Code]],3,TME[[#All],[Large Provider Entity Code]],B27)/J27,"NA")</f>
        <v>NA</v>
      </c>
      <c r="P27" s="154" t="str">
        <f t="shared" ref="P27:P40" si="54">IFERROR((J27/D27-1),"NA")</f>
        <v>NA</v>
      </c>
      <c r="Q27" s="154" t="str">
        <f t="shared" ref="Q27:Q40" si="55">IFERROR((K27/E27-1),"NA")</f>
        <v>NA</v>
      </c>
      <c r="R27" s="154" t="str">
        <f t="shared" ref="R27:R40" si="56">IFERROR((L27/F27-1),"NA")</f>
        <v>NA</v>
      </c>
      <c r="S27" s="154" t="str">
        <f t="shared" ref="S27:S40" si="57">IFERROR((M27/G27-1),"NA")</f>
        <v>NA</v>
      </c>
      <c r="T27" s="154" t="str">
        <f t="shared" ref="T27:T40" si="58">IFERROR((N27/H27-1),"NA")</f>
        <v>NA</v>
      </c>
      <c r="U27" s="154" t="str">
        <f t="shared" ref="U27:U40" si="59">IFERROR((O27/I27-1),"NA")</f>
        <v>NA</v>
      </c>
      <c r="W27" s="123">
        <v>101</v>
      </c>
      <c r="X27" s="103" t="s">
        <v>247</v>
      </c>
      <c r="Y27" s="141">
        <f>SUMIFS(TME[[#All],[Member Months]],TME[[#All],[Reporting Year]],2019,TME[[#All],[Insurance Category Code]],3,TME[[#All],[Large Provider Entity Code]],W27)</f>
        <v>0</v>
      </c>
      <c r="Z27" s="152" t="str">
        <f>IFERROR(SUMIFS(TME[[#All],[Total Non-Truncated Claims Spending]],TME[[#All],[Reporting Year]],2019,TME[[#All],[Insurance Category Code]],3,TME[[#All],[Large Provider Entity Code]],W27)/Y27,"NA")</f>
        <v>NA</v>
      </c>
      <c r="AA27" s="152" t="str">
        <f>IFERROR(SUMIFS(TME[[#All],[Total Truncated Claims Spending]],TME[[#All],[Reporting Year]],2019,TME[[#All],[Insurance Category Code]],3,TME[[#All],[Large Provider Entity Code]],W27)/Y27,"NA")</f>
        <v>NA</v>
      </c>
      <c r="AB27" s="152" t="str">
        <f>IFERROR(SUMIFS(TME[[#All],[Total Non-Claims Spending]],TME[[#All],[Reporting Year]],2019,TME[[#All],[Insurance Category Code]],3,TME[[#All],[Large Provider Entity Code]],W27)/Y27,"NA")</f>
        <v>NA</v>
      </c>
      <c r="AC27" s="152" t="str">
        <f>IFERROR(SUMIFS(TME[[#All],[Total Non-Truncated Claims and Non-Claims Spending]],TME[[#All],[Reporting Year]],2019,TME[[#All],[Insurance Category Code]],3,TME[[#All],[Large Provider Entity Code]],W27)/Y27,"NA")</f>
        <v>NA</v>
      </c>
      <c r="AD27" s="152" t="str">
        <f>IFERROR(SUMIFS(TME[[#All],[Truncated Total Expenses (Total Truncated Claims Expenses + Non-Claims Expenses)]],TME[[#All],[Reporting Year]],2019,TME[[#All],[Insurance Category Code]],3,TME[[#All],[Large Provider Entity Code]],W27)/Y27,"NA")</f>
        <v>NA</v>
      </c>
      <c r="AE27" s="141">
        <f>SUMIFS(TME[[#All],[Member Months]],TME[[#All],[Reporting Year]],2020,TME[[#All],[Insurance Category Code]],3,TME[[#All],[Large Provider Entity Code]],W27)</f>
        <v>0</v>
      </c>
      <c r="AF27" s="152" t="str">
        <f>IFERROR(SUMIFS(TME[[#All],[Total Non-Truncated Claims Spending]],TME[[#All],[Reporting Year]],2020,TME[[#All],[Insurance Category Code]],3,TME[[#All],[Large Provider Entity Code]],W27)/AE27,"NA")</f>
        <v>NA</v>
      </c>
      <c r="AG27" s="152" t="str">
        <f>IFERROR(SUMIFS(TME[[#All],[Total Truncated Claims Spending]],TME[[#All],[Reporting Year]],2020,TME[[#All],[Insurance Category Code]],3,TME[[#All],[Large Provider Entity Code]],W27)/AE27,"NA")</f>
        <v>NA</v>
      </c>
      <c r="AH27" s="152" t="str">
        <f>IFERROR(SUMIFS(TME[[#All],[Total Non-Claims Spending]],TME[[#All],[Reporting Year]],2020,TME[[#All],[Insurance Category Code]],3,TME[[#All],[Large Provider Entity Code]],W27)/AE27,"NA")</f>
        <v>NA</v>
      </c>
      <c r="AI27" s="152" t="str">
        <f>IFERROR(SUMIFS(TME[[#All],[Total Non-Truncated Claims and Non-Claims Spending]],TME[[#All],[Reporting Year]],2020,TME[[#All],[Insurance Category Code]],3,TME[[#All],[Large Provider Entity Code]],W27)/AE27,"NA")</f>
        <v>NA</v>
      </c>
      <c r="AJ27" s="152" t="str">
        <f>IFERROR(SUMIFS(TME[[#All],[Truncated Total Expenses (Total Truncated Claims Expenses + Non-Claims Expenses)]],TME[[#All],[Reporting Year]],2020,TME[[#All],[Insurance Category Code]],3,TME[[#All],[Large Provider Entity Code]],W27)/AE27,"NA")</f>
        <v>NA</v>
      </c>
      <c r="AK27" s="154" t="str">
        <f t="shared" ref="AK27:AK40" si="60">IFERROR((AE27/Y27-1),"NA")</f>
        <v>NA</v>
      </c>
      <c r="AL27" s="154" t="str">
        <f t="shared" ref="AL27:AL40" si="61">IFERROR((AF27/Z27-1),"NA")</f>
        <v>NA</v>
      </c>
      <c r="AM27" s="154" t="str">
        <f t="shared" ref="AM27:AM40" si="62">IFERROR((AG27/AA27-1),"NA")</f>
        <v>NA</v>
      </c>
      <c r="AN27" s="154" t="str">
        <f t="shared" ref="AN27:AN40" si="63">IFERROR((AH27/AB27-1),"NA")</f>
        <v>NA</v>
      </c>
      <c r="AO27" s="154" t="str">
        <f t="shared" ref="AO27:AO40" si="64">IFERROR((AI27/AC27-1),"NA")</f>
        <v>NA</v>
      </c>
      <c r="AP27" s="154" t="str">
        <f t="shared" ref="AP27:AP40" si="65">IFERROR((AJ27/AD27-1),"NA")</f>
        <v>NA</v>
      </c>
      <c r="AR27" s="123">
        <v>101</v>
      </c>
      <c r="AS27" s="103" t="s">
        <v>247</v>
      </c>
      <c r="AT27" s="141">
        <f>SUMIFS(TME[[#All],[Member Months]],TME[[#All],[Reporting Year]],2020,TME[[#All],[Insurance Category Code]],3,TME[[#All],[Large Provider Entity Code]],AR27)</f>
        <v>0</v>
      </c>
      <c r="AU27" s="152" t="str">
        <f>IFERROR(SUMIFS(TME[[#All],[Total Non-Truncated Claims Spending]],TME[[#All],[Reporting Year]],2020,TME[[#All],[Insurance Category Code]],3,TME[[#All],[Large Provider Entity Code]],AR27)/AT27,"NA")</f>
        <v>NA</v>
      </c>
      <c r="AV27" s="152" t="str">
        <f>IFERROR(SUMIFS(TME[[#All],[Total Truncated Claims Spending]],TME[[#All],[Reporting Year]],2020,TME[[#All],[Insurance Category Code]],3,TME[[#All],[Large Provider Entity Code]],AR27)/AT27,"NA")</f>
        <v>NA</v>
      </c>
      <c r="AW27" s="152" t="str">
        <f>IFERROR(SUMIFS(TME[[#All],[Total Non-Claims Spending]],TME[[#All],[Reporting Year]],2020,TME[[#All],[Insurance Category Code]],3,TME[[#All],[Large Provider Entity Code]],AR27)/AT27,"NA")</f>
        <v>NA</v>
      </c>
      <c r="AX27" s="152" t="str">
        <f>IFERROR(SUMIFS(TME[[#All],[Total Non-Truncated Claims and Non-Claims Spending]],TME[[#All],[Reporting Year]],2020,TME[[#All],[Insurance Category Code]],3,TME[[#All],[Large Provider Entity Code]],AR27)/AT27,"NA")</f>
        <v>NA</v>
      </c>
      <c r="AY27" s="152" t="str">
        <f>IFERROR(SUMIFS(TME[[#All],[Truncated Total Expenses (Total Truncated Claims Expenses + Non-Claims Expenses)]],TME[[#All],[Reporting Year]],2020,TME[[#All],[Insurance Category Code]],3,TME[[#All],[Large Provider Entity Code]],AR27)/AT27,"NA")</f>
        <v>NA</v>
      </c>
      <c r="AZ27" s="141">
        <f>SUMIFS(TME[[#All],[Member Months]],TME[[#All],[Reporting Year]],2021,TME[[#All],[Insurance Category Code]],3,TME[[#All],[Large Provider Entity Code]],AR27)</f>
        <v>0</v>
      </c>
      <c r="BA27" s="152" t="str">
        <f>IFERROR(SUMIFS(TME[[#All],[Total Non-Truncated Claims Spending]],TME[[#All],[Reporting Year]],2021,TME[[#All],[Insurance Category Code]],3,TME[[#All],[Large Provider Entity Code]],AR27)/AZ27,"NA")</f>
        <v>NA</v>
      </c>
      <c r="BB27" s="152" t="str">
        <f>IFERROR(SUMIFS(TME[[#All],[Total Truncated Claims Spending]],TME[[#All],[Reporting Year]],2021,TME[[#All],[Insurance Category Code]],3,TME[[#All],[Large Provider Entity Code]],AR27)/AZ27,"NA")</f>
        <v>NA</v>
      </c>
      <c r="BC27" s="152" t="str">
        <f>IFERROR(SUMIFS(TME[[#All],[Total Non-Claims Spending]],TME[[#All],[Reporting Year]],2021,TME[[#All],[Insurance Category Code]],3,TME[[#All],[Large Provider Entity Code]],AR27)/AZ27,"NA")</f>
        <v>NA</v>
      </c>
      <c r="BD27" s="152" t="str">
        <f>IFERROR(SUMIFS(TME[[#All],[Total Non-Truncated Claims and Non-Claims Spending]],TME[[#All],[Reporting Year]],2021,TME[[#All],[Insurance Category Code]],3,TME[[#All],[Large Provider Entity Code]],AR27)/AZ27,"NA")</f>
        <v>NA</v>
      </c>
      <c r="BE27" s="152" t="str">
        <f>IFERROR(SUMIFS(TME[[#All],[Truncated Total Expenses (Total Truncated Claims Expenses + Non-Claims Expenses)]],TME[[#All],[Reporting Year]],2021,TME[[#All],[Insurance Category Code]],3,TME[[#All],[Large Provider Entity Code]],AR27)/AZ27,"NA")</f>
        <v>NA</v>
      </c>
      <c r="BF27" s="154" t="str">
        <f t="shared" ref="BF27:BF40" si="66">IFERROR((AZ27/AT27-1),"NA")</f>
        <v>NA</v>
      </c>
      <c r="BG27" s="154" t="str">
        <f t="shared" ref="BG27:BG40" si="67">IFERROR((BA27/AU27-1),"NA")</f>
        <v>NA</v>
      </c>
      <c r="BH27" s="154" t="str">
        <f t="shared" ref="BH27:BH40" si="68">IFERROR((BB27/AV27-1),"NA")</f>
        <v>NA</v>
      </c>
      <c r="BI27" s="154" t="str">
        <f t="shared" ref="BI27:BI40" si="69">IFERROR((BC27/AW27-1),"NA")</f>
        <v>NA</v>
      </c>
      <c r="BJ27" s="154" t="str">
        <f t="shared" ref="BJ27:BJ40" si="70">IFERROR((BD27/AX27-1),"NA")</f>
        <v>NA</v>
      </c>
      <c r="BK27" s="154" t="str">
        <f t="shared" ref="BK27:BK40" si="71">IFERROR((BE27/AY27-1),"NA")</f>
        <v>NA</v>
      </c>
    </row>
    <row r="28" spans="2:63" x14ac:dyDescent="0.35">
      <c r="B28" s="123">
        <v>102</v>
      </c>
      <c r="C28" s="103" t="s">
        <v>292</v>
      </c>
      <c r="D28" s="141">
        <f>SUMIFS(TME[[#All],[Member Months]],TME[[#All],[Reporting Year]],2018,TME[[#All],[Insurance Category Code]],3,TME[[#All],[Large Provider Entity Code]],B28)</f>
        <v>0</v>
      </c>
      <c r="E28" s="152" t="str">
        <f>IFERROR(SUMIFS(TME[[#All],[Total Non-Truncated Claims Spending]],TME[[#All],[Reporting Year]],2018,TME[[#All],[Insurance Category Code]],3,TME[[#All],[Large Provider Entity Code]],B28)/D28,"NA")</f>
        <v>NA</v>
      </c>
      <c r="F28" s="152" t="str">
        <f>IFERROR(SUMIFS(TME[[#All],[Total Truncated Claims Spending]],TME[[#All],[Reporting Year]],2018,TME[[#All],[Insurance Category Code]],3,TME[[#All],[Large Provider Entity Code]],B28)/D28,"NA")</f>
        <v>NA</v>
      </c>
      <c r="G28" s="152" t="str">
        <f>IFERROR(SUMIFS(TME[[#All],[Total Non-Claims Spending]],TME[[#All],[Reporting Year]],2018,TME[[#All],[Insurance Category Code]],3,TME[[#All],[Large Provider Entity Code]],B28)/D28,"NA")</f>
        <v>NA</v>
      </c>
      <c r="H28" s="152" t="str">
        <f>IFERROR(SUMIFS(TME[[#All],[Total Non-Truncated Claims and Non-Claims Spending]],TME[[#All],[Reporting Year]],2018,TME[[#All],[Insurance Category Code]],3,TME[[#All],[Large Provider Entity Code]],B28)/D28,"NA")</f>
        <v>NA</v>
      </c>
      <c r="I28" s="152" t="str">
        <f>IFERROR(SUMIFS(TME[[#All],[Truncated Total Expenses (Total Truncated Claims Expenses + Non-Claims Expenses)]],TME[[#All],[Reporting Year]],2018,TME[[#All],[Insurance Category Code]],3,TME[[#All],[Large Provider Entity Code]],B28)/D28,"NA")</f>
        <v>NA</v>
      </c>
      <c r="J28" s="141">
        <f>SUMIFS(TME[[#All],[Member Months]],TME[[#All],[Reporting Year]],2019,TME[[#All],[Insurance Category Code]],3,TME[[#All],[Large Provider Entity Code]],B28)</f>
        <v>0</v>
      </c>
      <c r="K28" s="152" t="str">
        <f>IFERROR(SUMIFS(TME[[#All],[Total Non-Truncated Claims Spending]],TME[[#All],[Reporting Year]],2019,TME[[#All],[Insurance Category Code]],3,TME[[#All],[Large Provider Entity Code]],B28)/J28,"NA")</f>
        <v>NA</v>
      </c>
      <c r="L28" s="152" t="str">
        <f>IFERROR(SUMIFS(TME[[#All],[Total Truncated Claims Spending]],TME[[#All],[Reporting Year]],2019,TME[[#All],[Insurance Category Code]],3,TME[[#All],[Large Provider Entity Code]],B28)/J28,"NA")</f>
        <v>NA</v>
      </c>
      <c r="M28" s="152" t="str">
        <f>IFERROR(SUMIFS(TME[[#All],[Total Non-Claims Spending]],TME[[#All],[Reporting Year]],2019,TME[[#All],[Insurance Category Code]],3,TME[[#All],[Large Provider Entity Code]],B28)/J28,"NA")</f>
        <v>NA</v>
      </c>
      <c r="N28" s="152" t="str">
        <f>IFERROR(SUMIFS(TME[[#All],[Total Non-Truncated Claims and Non-Claims Spending]],TME[[#All],[Reporting Year]],2019,TME[[#All],[Insurance Category Code]],3,TME[[#All],[Large Provider Entity Code]],B28)/J28,"NA")</f>
        <v>NA</v>
      </c>
      <c r="O28" s="152" t="str">
        <f>IFERROR(SUMIFS(TME[[#All],[Truncated Total Expenses (Total Truncated Claims Expenses + Non-Claims Expenses)]],TME[[#All],[Reporting Year]],2019,TME[[#All],[Insurance Category Code]],3,TME[[#All],[Large Provider Entity Code]],B28)/J28,"NA")</f>
        <v>NA</v>
      </c>
      <c r="P28" s="154" t="str">
        <f t="shared" si="54"/>
        <v>NA</v>
      </c>
      <c r="Q28" s="154" t="str">
        <f t="shared" si="55"/>
        <v>NA</v>
      </c>
      <c r="R28" s="154" t="str">
        <f t="shared" si="56"/>
        <v>NA</v>
      </c>
      <c r="S28" s="154" t="str">
        <f t="shared" si="57"/>
        <v>NA</v>
      </c>
      <c r="T28" s="154" t="str">
        <f t="shared" si="58"/>
        <v>NA</v>
      </c>
      <c r="U28" s="154" t="str">
        <f t="shared" si="59"/>
        <v>NA</v>
      </c>
      <c r="W28" s="123">
        <v>102</v>
      </c>
      <c r="X28" s="103" t="s">
        <v>292</v>
      </c>
      <c r="Y28" s="141">
        <f>SUMIFS(TME[[#All],[Member Months]],TME[[#All],[Reporting Year]],2019,TME[[#All],[Insurance Category Code]],3,TME[[#All],[Large Provider Entity Code]],W28)</f>
        <v>0</v>
      </c>
      <c r="Z28" s="152" t="str">
        <f>IFERROR(SUMIFS(TME[[#All],[Total Non-Truncated Claims Spending]],TME[[#All],[Reporting Year]],2019,TME[[#All],[Insurance Category Code]],3,TME[[#All],[Large Provider Entity Code]],W28)/Y28,"NA")</f>
        <v>NA</v>
      </c>
      <c r="AA28" s="152" t="str">
        <f>IFERROR(SUMIFS(TME[[#All],[Total Truncated Claims Spending]],TME[[#All],[Reporting Year]],2019,TME[[#All],[Insurance Category Code]],3,TME[[#All],[Large Provider Entity Code]],W28)/Y28,"NA")</f>
        <v>NA</v>
      </c>
      <c r="AB28" s="152" t="str">
        <f>IFERROR(SUMIFS(TME[[#All],[Total Non-Claims Spending]],TME[[#All],[Reporting Year]],2019,TME[[#All],[Insurance Category Code]],3,TME[[#All],[Large Provider Entity Code]],W28)/Y28,"NA")</f>
        <v>NA</v>
      </c>
      <c r="AC28" s="152" t="str">
        <f>IFERROR(SUMIFS(TME[[#All],[Total Non-Truncated Claims and Non-Claims Spending]],TME[[#All],[Reporting Year]],2019,TME[[#All],[Insurance Category Code]],3,TME[[#All],[Large Provider Entity Code]],W28)/Y28,"NA")</f>
        <v>NA</v>
      </c>
      <c r="AD28" s="152" t="str">
        <f>IFERROR(SUMIFS(TME[[#All],[Truncated Total Expenses (Total Truncated Claims Expenses + Non-Claims Expenses)]],TME[[#All],[Reporting Year]],2019,TME[[#All],[Insurance Category Code]],3,TME[[#All],[Large Provider Entity Code]],W28)/Y28,"NA")</f>
        <v>NA</v>
      </c>
      <c r="AE28" s="141">
        <f>SUMIFS(TME[[#All],[Member Months]],TME[[#All],[Reporting Year]],2020,TME[[#All],[Insurance Category Code]],3,TME[[#All],[Large Provider Entity Code]],W28)</f>
        <v>0</v>
      </c>
      <c r="AF28" s="152" t="str">
        <f>IFERROR(SUMIFS(TME[[#All],[Total Non-Truncated Claims Spending]],TME[[#All],[Reporting Year]],2020,TME[[#All],[Insurance Category Code]],3,TME[[#All],[Large Provider Entity Code]],W28)/AE28,"NA")</f>
        <v>NA</v>
      </c>
      <c r="AG28" s="152" t="str">
        <f>IFERROR(SUMIFS(TME[[#All],[Total Truncated Claims Spending]],TME[[#All],[Reporting Year]],2020,TME[[#All],[Insurance Category Code]],3,TME[[#All],[Large Provider Entity Code]],W28)/AE28,"NA")</f>
        <v>NA</v>
      </c>
      <c r="AH28" s="152" t="str">
        <f>IFERROR(SUMIFS(TME[[#All],[Total Non-Claims Spending]],TME[[#All],[Reporting Year]],2020,TME[[#All],[Insurance Category Code]],3,TME[[#All],[Large Provider Entity Code]],W28)/AE28,"NA")</f>
        <v>NA</v>
      </c>
      <c r="AI28" s="152" t="str">
        <f>IFERROR(SUMIFS(TME[[#All],[Total Non-Truncated Claims and Non-Claims Spending]],TME[[#All],[Reporting Year]],2020,TME[[#All],[Insurance Category Code]],3,TME[[#All],[Large Provider Entity Code]],W28)/AE28,"NA")</f>
        <v>NA</v>
      </c>
      <c r="AJ28" s="152" t="str">
        <f>IFERROR(SUMIFS(TME[[#All],[Truncated Total Expenses (Total Truncated Claims Expenses + Non-Claims Expenses)]],TME[[#All],[Reporting Year]],2020,TME[[#All],[Insurance Category Code]],3,TME[[#All],[Large Provider Entity Code]],W28)/AE28,"NA")</f>
        <v>NA</v>
      </c>
      <c r="AK28" s="154" t="str">
        <f t="shared" si="60"/>
        <v>NA</v>
      </c>
      <c r="AL28" s="154" t="str">
        <f t="shared" si="61"/>
        <v>NA</v>
      </c>
      <c r="AM28" s="154" t="str">
        <f t="shared" si="62"/>
        <v>NA</v>
      </c>
      <c r="AN28" s="154" t="str">
        <f t="shared" si="63"/>
        <v>NA</v>
      </c>
      <c r="AO28" s="154" t="str">
        <f t="shared" si="64"/>
        <v>NA</v>
      </c>
      <c r="AP28" s="154" t="str">
        <f t="shared" si="65"/>
        <v>NA</v>
      </c>
      <c r="AR28" s="123">
        <v>102</v>
      </c>
      <c r="AS28" s="103" t="s">
        <v>292</v>
      </c>
      <c r="AT28" s="141">
        <f>SUMIFS(TME[[#All],[Member Months]],TME[[#All],[Reporting Year]],2020,TME[[#All],[Insurance Category Code]],3,TME[[#All],[Large Provider Entity Code]],AR28)</f>
        <v>0</v>
      </c>
      <c r="AU28" s="152" t="str">
        <f>IFERROR(SUMIFS(TME[[#All],[Total Non-Truncated Claims Spending]],TME[[#All],[Reporting Year]],2020,TME[[#All],[Insurance Category Code]],3,TME[[#All],[Large Provider Entity Code]],AR28)/AT28,"NA")</f>
        <v>NA</v>
      </c>
      <c r="AV28" s="152" t="str">
        <f>IFERROR(SUMIFS(TME[[#All],[Total Truncated Claims Spending]],TME[[#All],[Reporting Year]],2020,TME[[#All],[Insurance Category Code]],3,TME[[#All],[Large Provider Entity Code]],AR28)/AT28,"NA")</f>
        <v>NA</v>
      </c>
      <c r="AW28" s="152" t="str">
        <f>IFERROR(SUMIFS(TME[[#All],[Total Non-Claims Spending]],TME[[#All],[Reporting Year]],2020,TME[[#All],[Insurance Category Code]],3,TME[[#All],[Large Provider Entity Code]],AR28)/AT28,"NA")</f>
        <v>NA</v>
      </c>
      <c r="AX28" s="152" t="str">
        <f>IFERROR(SUMIFS(TME[[#All],[Total Non-Truncated Claims and Non-Claims Spending]],TME[[#All],[Reporting Year]],2020,TME[[#All],[Insurance Category Code]],3,TME[[#All],[Large Provider Entity Code]],AR28)/AT28,"NA")</f>
        <v>NA</v>
      </c>
      <c r="AY28" s="152" t="str">
        <f>IFERROR(SUMIFS(TME[[#All],[Truncated Total Expenses (Total Truncated Claims Expenses + Non-Claims Expenses)]],TME[[#All],[Reporting Year]],2020,TME[[#All],[Insurance Category Code]],3,TME[[#All],[Large Provider Entity Code]],AR28)/AT28,"NA")</f>
        <v>NA</v>
      </c>
      <c r="AZ28" s="141">
        <f>SUMIFS(TME[[#All],[Member Months]],TME[[#All],[Reporting Year]],2021,TME[[#All],[Insurance Category Code]],3,TME[[#All],[Large Provider Entity Code]],AR28)</f>
        <v>0</v>
      </c>
      <c r="BA28" s="152" t="str">
        <f>IFERROR(SUMIFS(TME[[#All],[Total Non-Truncated Claims Spending]],TME[[#All],[Reporting Year]],2021,TME[[#All],[Insurance Category Code]],3,TME[[#All],[Large Provider Entity Code]],AR28)/AZ28,"NA")</f>
        <v>NA</v>
      </c>
      <c r="BB28" s="152" t="str">
        <f>IFERROR(SUMIFS(TME[[#All],[Total Truncated Claims Spending]],TME[[#All],[Reporting Year]],2021,TME[[#All],[Insurance Category Code]],3,TME[[#All],[Large Provider Entity Code]],AR28)/AZ28,"NA")</f>
        <v>NA</v>
      </c>
      <c r="BC28" s="152" t="str">
        <f>IFERROR(SUMIFS(TME[[#All],[Total Non-Claims Spending]],TME[[#All],[Reporting Year]],2021,TME[[#All],[Insurance Category Code]],3,TME[[#All],[Large Provider Entity Code]],AR28)/AZ28,"NA")</f>
        <v>NA</v>
      </c>
      <c r="BD28" s="152" t="str">
        <f>IFERROR(SUMIFS(TME[[#All],[Total Non-Truncated Claims and Non-Claims Spending]],TME[[#All],[Reporting Year]],2021,TME[[#All],[Insurance Category Code]],3,TME[[#All],[Large Provider Entity Code]],AR28)/AZ28,"NA")</f>
        <v>NA</v>
      </c>
      <c r="BE28" s="152" t="str">
        <f>IFERROR(SUMIFS(TME[[#All],[Truncated Total Expenses (Total Truncated Claims Expenses + Non-Claims Expenses)]],TME[[#All],[Reporting Year]],2021,TME[[#All],[Insurance Category Code]],3,TME[[#All],[Large Provider Entity Code]],AR28)/AZ28,"NA")</f>
        <v>NA</v>
      </c>
      <c r="BF28" s="154" t="str">
        <f t="shared" si="66"/>
        <v>NA</v>
      </c>
      <c r="BG28" s="154" t="str">
        <f t="shared" si="67"/>
        <v>NA</v>
      </c>
      <c r="BH28" s="154" t="str">
        <f t="shared" si="68"/>
        <v>NA</v>
      </c>
      <c r="BI28" s="154" t="str">
        <f t="shared" si="69"/>
        <v>NA</v>
      </c>
      <c r="BJ28" s="154" t="str">
        <f t="shared" si="70"/>
        <v>NA</v>
      </c>
      <c r="BK28" s="154" t="str">
        <f t="shared" si="71"/>
        <v>NA</v>
      </c>
    </row>
    <row r="29" spans="2:63" x14ac:dyDescent="0.35">
      <c r="B29" s="123">
        <v>103</v>
      </c>
      <c r="C29" s="103" t="s">
        <v>248</v>
      </c>
      <c r="D29" s="141">
        <f>SUMIFS(TME[[#All],[Member Months]],TME[[#All],[Reporting Year]],2018,TME[[#All],[Insurance Category Code]],3,TME[[#All],[Large Provider Entity Code]],B29)</f>
        <v>0</v>
      </c>
      <c r="E29" s="152" t="str">
        <f>IFERROR(SUMIFS(TME[[#All],[Total Non-Truncated Claims Spending]],TME[[#All],[Reporting Year]],2018,TME[[#All],[Insurance Category Code]],3,TME[[#All],[Large Provider Entity Code]],B29)/D29,"NA")</f>
        <v>NA</v>
      </c>
      <c r="F29" s="152" t="str">
        <f>IFERROR(SUMIFS(TME[[#All],[Total Truncated Claims Spending]],TME[[#All],[Reporting Year]],2018,TME[[#All],[Insurance Category Code]],3,TME[[#All],[Large Provider Entity Code]],B29)/D29,"NA")</f>
        <v>NA</v>
      </c>
      <c r="G29" s="152" t="str">
        <f>IFERROR(SUMIFS(TME[[#All],[Total Non-Claims Spending]],TME[[#All],[Reporting Year]],2018,TME[[#All],[Insurance Category Code]],3,TME[[#All],[Large Provider Entity Code]],B29)/D29,"NA")</f>
        <v>NA</v>
      </c>
      <c r="H29" s="152" t="str">
        <f>IFERROR(SUMIFS(TME[[#All],[Total Non-Truncated Claims and Non-Claims Spending]],TME[[#All],[Reporting Year]],2018,TME[[#All],[Insurance Category Code]],3,TME[[#All],[Large Provider Entity Code]],B29)/D29,"NA")</f>
        <v>NA</v>
      </c>
      <c r="I29" s="152" t="str">
        <f>IFERROR(SUMIFS(TME[[#All],[Truncated Total Expenses (Total Truncated Claims Expenses + Non-Claims Expenses)]],TME[[#All],[Reporting Year]],2018,TME[[#All],[Insurance Category Code]],3,TME[[#All],[Large Provider Entity Code]],B29)/D29,"NA")</f>
        <v>NA</v>
      </c>
      <c r="J29" s="141">
        <f>SUMIFS(TME[[#All],[Member Months]],TME[[#All],[Reporting Year]],2019,TME[[#All],[Insurance Category Code]],3,TME[[#All],[Large Provider Entity Code]],B29)</f>
        <v>0</v>
      </c>
      <c r="K29" s="152" t="str">
        <f>IFERROR(SUMIFS(TME[[#All],[Total Non-Truncated Claims Spending]],TME[[#All],[Reporting Year]],2019,TME[[#All],[Insurance Category Code]],3,TME[[#All],[Large Provider Entity Code]],B29)/J29,"NA")</f>
        <v>NA</v>
      </c>
      <c r="L29" s="152" t="str">
        <f>IFERROR(SUMIFS(TME[[#All],[Total Truncated Claims Spending]],TME[[#All],[Reporting Year]],2019,TME[[#All],[Insurance Category Code]],3,TME[[#All],[Large Provider Entity Code]],B29)/J29,"NA")</f>
        <v>NA</v>
      </c>
      <c r="M29" s="152" t="str">
        <f>IFERROR(SUMIFS(TME[[#All],[Total Non-Claims Spending]],TME[[#All],[Reporting Year]],2019,TME[[#All],[Insurance Category Code]],3,TME[[#All],[Large Provider Entity Code]],B29)/J29,"NA")</f>
        <v>NA</v>
      </c>
      <c r="N29" s="152" t="str">
        <f>IFERROR(SUMIFS(TME[[#All],[Total Non-Truncated Claims and Non-Claims Spending]],TME[[#All],[Reporting Year]],2019,TME[[#All],[Insurance Category Code]],3,TME[[#All],[Large Provider Entity Code]],B29)/J29,"NA")</f>
        <v>NA</v>
      </c>
      <c r="O29" s="152" t="str">
        <f>IFERROR(SUMIFS(TME[[#All],[Truncated Total Expenses (Total Truncated Claims Expenses + Non-Claims Expenses)]],TME[[#All],[Reporting Year]],2019,TME[[#All],[Insurance Category Code]],3,TME[[#All],[Large Provider Entity Code]],B29)/J29,"NA")</f>
        <v>NA</v>
      </c>
      <c r="P29" s="154" t="str">
        <f t="shared" si="54"/>
        <v>NA</v>
      </c>
      <c r="Q29" s="154" t="str">
        <f t="shared" si="55"/>
        <v>NA</v>
      </c>
      <c r="R29" s="154" t="str">
        <f t="shared" si="56"/>
        <v>NA</v>
      </c>
      <c r="S29" s="154" t="str">
        <f t="shared" si="57"/>
        <v>NA</v>
      </c>
      <c r="T29" s="154" t="str">
        <f t="shared" si="58"/>
        <v>NA</v>
      </c>
      <c r="U29" s="154" t="str">
        <f t="shared" si="59"/>
        <v>NA</v>
      </c>
      <c r="W29" s="123">
        <v>103</v>
      </c>
      <c r="X29" s="103" t="s">
        <v>248</v>
      </c>
      <c r="Y29" s="141">
        <f>SUMIFS(TME[[#All],[Member Months]],TME[[#All],[Reporting Year]],2019,TME[[#All],[Insurance Category Code]],3,TME[[#All],[Large Provider Entity Code]],W29)</f>
        <v>0</v>
      </c>
      <c r="Z29" s="152" t="str">
        <f>IFERROR(SUMIFS(TME[[#All],[Total Non-Truncated Claims Spending]],TME[[#All],[Reporting Year]],2019,TME[[#All],[Insurance Category Code]],3,TME[[#All],[Large Provider Entity Code]],W29)/Y29,"NA")</f>
        <v>NA</v>
      </c>
      <c r="AA29" s="152" t="str">
        <f>IFERROR(SUMIFS(TME[[#All],[Total Truncated Claims Spending]],TME[[#All],[Reporting Year]],2019,TME[[#All],[Insurance Category Code]],3,TME[[#All],[Large Provider Entity Code]],W29)/Y29,"NA")</f>
        <v>NA</v>
      </c>
      <c r="AB29" s="152" t="str">
        <f>IFERROR(SUMIFS(TME[[#All],[Total Non-Claims Spending]],TME[[#All],[Reporting Year]],2019,TME[[#All],[Insurance Category Code]],3,TME[[#All],[Large Provider Entity Code]],W29)/Y29,"NA")</f>
        <v>NA</v>
      </c>
      <c r="AC29" s="152" t="str">
        <f>IFERROR(SUMIFS(TME[[#All],[Total Non-Truncated Claims and Non-Claims Spending]],TME[[#All],[Reporting Year]],2019,TME[[#All],[Insurance Category Code]],3,TME[[#All],[Large Provider Entity Code]],W29)/Y29,"NA")</f>
        <v>NA</v>
      </c>
      <c r="AD29" s="152" t="str">
        <f>IFERROR(SUMIFS(TME[[#All],[Truncated Total Expenses (Total Truncated Claims Expenses + Non-Claims Expenses)]],TME[[#All],[Reporting Year]],2019,TME[[#All],[Insurance Category Code]],3,TME[[#All],[Large Provider Entity Code]],W29)/Y29,"NA")</f>
        <v>NA</v>
      </c>
      <c r="AE29" s="141">
        <f>SUMIFS(TME[[#All],[Member Months]],TME[[#All],[Reporting Year]],2020,TME[[#All],[Insurance Category Code]],3,TME[[#All],[Large Provider Entity Code]],W29)</f>
        <v>0</v>
      </c>
      <c r="AF29" s="152" t="str">
        <f>IFERROR(SUMIFS(TME[[#All],[Total Non-Truncated Claims Spending]],TME[[#All],[Reporting Year]],2020,TME[[#All],[Insurance Category Code]],3,TME[[#All],[Large Provider Entity Code]],W29)/AE29,"NA")</f>
        <v>NA</v>
      </c>
      <c r="AG29" s="152" t="str">
        <f>IFERROR(SUMIFS(TME[[#All],[Total Truncated Claims Spending]],TME[[#All],[Reporting Year]],2020,TME[[#All],[Insurance Category Code]],3,TME[[#All],[Large Provider Entity Code]],W29)/AE29,"NA")</f>
        <v>NA</v>
      </c>
      <c r="AH29" s="152" t="str">
        <f>IFERROR(SUMIFS(TME[[#All],[Total Non-Claims Spending]],TME[[#All],[Reporting Year]],2020,TME[[#All],[Insurance Category Code]],3,TME[[#All],[Large Provider Entity Code]],W29)/AE29,"NA")</f>
        <v>NA</v>
      </c>
      <c r="AI29" s="152" t="str">
        <f>IFERROR(SUMIFS(TME[[#All],[Total Non-Truncated Claims and Non-Claims Spending]],TME[[#All],[Reporting Year]],2020,TME[[#All],[Insurance Category Code]],3,TME[[#All],[Large Provider Entity Code]],W29)/AE29,"NA")</f>
        <v>NA</v>
      </c>
      <c r="AJ29" s="152" t="str">
        <f>IFERROR(SUMIFS(TME[[#All],[Truncated Total Expenses (Total Truncated Claims Expenses + Non-Claims Expenses)]],TME[[#All],[Reporting Year]],2020,TME[[#All],[Insurance Category Code]],3,TME[[#All],[Large Provider Entity Code]],W29)/AE29,"NA")</f>
        <v>NA</v>
      </c>
      <c r="AK29" s="154" t="str">
        <f t="shared" si="60"/>
        <v>NA</v>
      </c>
      <c r="AL29" s="154" t="str">
        <f t="shared" si="61"/>
        <v>NA</v>
      </c>
      <c r="AM29" s="154" t="str">
        <f t="shared" si="62"/>
        <v>NA</v>
      </c>
      <c r="AN29" s="154" t="str">
        <f t="shared" si="63"/>
        <v>NA</v>
      </c>
      <c r="AO29" s="154" t="str">
        <f t="shared" si="64"/>
        <v>NA</v>
      </c>
      <c r="AP29" s="154" t="str">
        <f t="shared" si="65"/>
        <v>NA</v>
      </c>
      <c r="AR29" s="123">
        <v>103</v>
      </c>
      <c r="AS29" s="103" t="s">
        <v>248</v>
      </c>
      <c r="AT29" s="141">
        <f>SUMIFS(TME[[#All],[Member Months]],TME[[#All],[Reporting Year]],2020,TME[[#All],[Insurance Category Code]],3,TME[[#All],[Large Provider Entity Code]],AR29)</f>
        <v>0</v>
      </c>
      <c r="AU29" s="152" t="str">
        <f>IFERROR(SUMIFS(TME[[#All],[Total Non-Truncated Claims Spending]],TME[[#All],[Reporting Year]],2020,TME[[#All],[Insurance Category Code]],3,TME[[#All],[Large Provider Entity Code]],AR29)/AT29,"NA")</f>
        <v>NA</v>
      </c>
      <c r="AV29" s="152" t="str">
        <f>IFERROR(SUMIFS(TME[[#All],[Total Truncated Claims Spending]],TME[[#All],[Reporting Year]],2020,TME[[#All],[Insurance Category Code]],3,TME[[#All],[Large Provider Entity Code]],AR29)/AT29,"NA")</f>
        <v>NA</v>
      </c>
      <c r="AW29" s="152" t="str">
        <f>IFERROR(SUMIFS(TME[[#All],[Total Non-Claims Spending]],TME[[#All],[Reporting Year]],2020,TME[[#All],[Insurance Category Code]],3,TME[[#All],[Large Provider Entity Code]],AR29)/AT29,"NA")</f>
        <v>NA</v>
      </c>
      <c r="AX29" s="152" t="str">
        <f>IFERROR(SUMIFS(TME[[#All],[Total Non-Truncated Claims and Non-Claims Spending]],TME[[#All],[Reporting Year]],2020,TME[[#All],[Insurance Category Code]],3,TME[[#All],[Large Provider Entity Code]],AR29)/AT29,"NA")</f>
        <v>NA</v>
      </c>
      <c r="AY29" s="152" t="str">
        <f>IFERROR(SUMIFS(TME[[#All],[Truncated Total Expenses (Total Truncated Claims Expenses + Non-Claims Expenses)]],TME[[#All],[Reporting Year]],2020,TME[[#All],[Insurance Category Code]],3,TME[[#All],[Large Provider Entity Code]],AR29)/AT29,"NA")</f>
        <v>NA</v>
      </c>
      <c r="AZ29" s="141">
        <f>SUMIFS(TME[[#All],[Member Months]],TME[[#All],[Reporting Year]],2021,TME[[#All],[Insurance Category Code]],3,TME[[#All],[Large Provider Entity Code]],AR29)</f>
        <v>0</v>
      </c>
      <c r="BA29" s="152" t="str">
        <f>IFERROR(SUMIFS(TME[[#All],[Total Non-Truncated Claims Spending]],TME[[#All],[Reporting Year]],2021,TME[[#All],[Insurance Category Code]],3,TME[[#All],[Large Provider Entity Code]],AR29)/AZ29,"NA")</f>
        <v>NA</v>
      </c>
      <c r="BB29" s="152" t="str">
        <f>IFERROR(SUMIFS(TME[[#All],[Total Truncated Claims Spending]],TME[[#All],[Reporting Year]],2021,TME[[#All],[Insurance Category Code]],3,TME[[#All],[Large Provider Entity Code]],AR29)/AZ29,"NA")</f>
        <v>NA</v>
      </c>
      <c r="BC29" s="152" t="str">
        <f>IFERROR(SUMIFS(TME[[#All],[Total Non-Claims Spending]],TME[[#All],[Reporting Year]],2021,TME[[#All],[Insurance Category Code]],3,TME[[#All],[Large Provider Entity Code]],AR29)/AZ29,"NA")</f>
        <v>NA</v>
      </c>
      <c r="BD29" s="152" t="str">
        <f>IFERROR(SUMIFS(TME[[#All],[Total Non-Truncated Claims and Non-Claims Spending]],TME[[#All],[Reporting Year]],2021,TME[[#All],[Insurance Category Code]],3,TME[[#All],[Large Provider Entity Code]],AR29)/AZ29,"NA")</f>
        <v>NA</v>
      </c>
      <c r="BE29" s="152" t="str">
        <f>IFERROR(SUMIFS(TME[[#All],[Truncated Total Expenses (Total Truncated Claims Expenses + Non-Claims Expenses)]],TME[[#All],[Reporting Year]],2021,TME[[#All],[Insurance Category Code]],3,TME[[#All],[Large Provider Entity Code]],AR29)/AZ29,"NA")</f>
        <v>NA</v>
      </c>
      <c r="BF29" s="154" t="str">
        <f t="shared" si="66"/>
        <v>NA</v>
      </c>
      <c r="BG29" s="154" t="str">
        <f t="shared" si="67"/>
        <v>NA</v>
      </c>
      <c r="BH29" s="154" t="str">
        <f t="shared" si="68"/>
        <v>NA</v>
      </c>
      <c r="BI29" s="154" t="str">
        <f t="shared" si="69"/>
        <v>NA</v>
      </c>
      <c r="BJ29" s="154" t="str">
        <f t="shared" si="70"/>
        <v>NA</v>
      </c>
      <c r="BK29" s="154" t="str">
        <f t="shared" si="71"/>
        <v>NA</v>
      </c>
    </row>
    <row r="30" spans="2:63" x14ac:dyDescent="0.35">
      <c r="B30" s="123">
        <v>104</v>
      </c>
      <c r="C30" s="103" t="s">
        <v>249</v>
      </c>
      <c r="D30" s="141">
        <f>SUMIFS(TME[[#All],[Member Months]],TME[[#All],[Reporting Year]],2018,TME[[#All],[Insurance Category Code]],3,TME[[#All],[Large Provider Entity Code]],B30)</f>
        <v>0</v>
      </c>
      <c r="E30" s="152" t="str">
        <f>IFERROR(SUMIFS(TME[[#All],[Total Non-Truncated Claims Spending]],TME[[#All],[Reporting Year]],2018,TME[[#All],[Insurance Category Code]],3,TME[[#All],[Large Provider Entity Code]],B30)/D30,"NA")</f>
        <v>NA</v>
      </c>
      <c r="F30" s="152" t="str">
        <f>IFERROR(SUMIFS(TME[[#All],[Total Truncated Claims Spending]],TME[[#All],[Reporting Year]],2018,TME[[#All],[Insurance Category Code]],3,TME[[#All],[Large Provider Entity Code]],B30)/D30,"NA")</f>
        <v>NA</v>
      </c>
      <c r="G30" s="152" t="str">
        <f>IFERROR(SUMIFS(TME[[#All],[Total Non-Claims Spending]],TME[[#All],[Reporting Year]],2018,TME[[#All],[Insurance Category Code]],3,TME[[#All],[Large Provider Entity Code]],B30)/D30,"NA")</f>
        <v>NA</v>
      </c>
      <c r="H30" s="152" t="str">
        <f>IFERROR(SUMIFS(TME[[#All],[Total Non-Truncated Claims and Non-Claims Spending]],TME[[#All],[Reporting Year]],2018,TME[[#All],[Insurance Category Code]],3,TME[[#All],[Large Provider Entity Code]],B30)/D30,"NA")</f>
        <v>NA</v>
      </c>
      <c r="I30" s="152" t="str">
        <f>IFERROR(SUMIFS(TME[[#All],[Truncated Total Expenses (Total Truncated Claims Expenses + Non-Claims Expenses)]],TME[[#All],[Reporting Year]],2018,TME[[#All],[Insurance Category Code]],3,TME[[#All],[Large Provider Entity Code]],B30)/D30,"NA")</f>
        <v>NA</v>
      </c>
      <c r="J30" s="141">
        <f>SUMIFS(TME[[#All],[Member Months]],TME[[#All],[Reporting Year]],2019,TME[[#All],[Insurance Category Code]],3,TME[[#All],[Large Provider Entity Code]],B30)</f>
        <v>0</v>
      </c>
      <c r="K30" s="152" t="str">
        <f>IFERROR(SUMIFS(TME[[#All],[Total Non-Truncated Claims Spending]],TME[[#All],[Reporting Year]],2019,TME[[#All],[Insurance Category Code]],3,TME[[#All],[Large Provider Entity Code]],B30)/J30,"NA")</f>
        <v>NA</v>
      </c>
      <c r="L30" s="152" t="str">
        <f>IFERROR(SUMIFS(TME[[#All],[Total Truncated Claims Spending]],TME[[#All],[Reporting Year]],2019,TME[[#All],[Insurance Category Code]],3,TME[[#All],[Large Provider Entity Code]],B30)/J30,"NA")</f>
        <v>NA</v>
      </c>
      <c r="M30" s="152" t="str">
        <f>IFERROR(SUMIFS(TME[[#All],[Total Non-Claims Spending]],TME[[#All],[Reporting Year]],2019,TME[[#All],[Insurance Category Code]],3,TME[[#All],[Large Provider Entity Code]],B30)/J30,"NA")</f>
        <v>NA</v>
      </c>
      <c r="N30" s="152" t="str">
        <f>IFERROR(SUMIFS(TME[[#All],[Total Non-Truncated Claims and Non-Claims Spending]],TME[[#All],[Reporting Year]],2019,TME[[#All],[Insurance Category Code]],3,TME[[#All],[Large Provider Entity Code]],B30)/J30,"NA")</f>
        <v>NA</v>
      </c>
      <c r="O30" s="152" t="str">
        <f>IFERROR(SUMIFS(TME[[#All],[Truncated Total Expenses (Total Truncated Claims Expenses + Non-Claims Expenses)]],TME[[#All],[Reporting Year]],2019,TME[[#All],[Insurance Category Code]],3,TME[[#All],[Large Provider Entity Code]],B30)/J30,"NA")</f>
        <v>NA</v>
      </c>
      <c r="P30" s="154" t="str">
        <f t="shared" si="54"/>
        <v>NA</v>
      </c>
      <c r="Q30" s="154" t="str">
        <f t="shared" si="55"/>
        <v>NA</v>
      </c>
      <c r="R30" s="154" t="str">
        <f t="shared" si="56"/>
        <v>NA</v>
      </c>
      <c r="S30" s="154" t="str">
        <f t="shared" si="57"/>
        <v>NA</v>
      </c>
      <c r="T30" s="154" t="str">
        <f t="shared" si="58"/>
        <v>NA</v>
      </c>
      <c r="U30" s="154" t="str">
        <f t="shared" si="59"/>
        <v>NA</v>
      </c>
      <c r="W30" s="123">
        <v>104</v>
      </c>
      <c r="X30" s="103" t="s">
        <v>249</v>
      </c>
      <c r="Y30" s="141">
        <f>SUMIFS(TME[[#All],[Member Months]],TME[[#All],[Reporting Year]],2019,TME[[#All],[Insurance Category Code]],3,TME[[#All],[Large Provider Entity Code]],W30)</f>
        <v>0</v>
      </c>
      <c r="Z30" s="152" t="str">
        <f>IFERROR(SUMIFS(TME[[#All],[Total Non-Truncated Claims Spending]],TME[[#All],[Reporting Year]],2019,TME[[#All],[Insurance Category Code]],3,TME[[#All],[Large Provider Entity Code]],W30)/Y30,"NA")</f>
        <v>NA</v>
      </c>
      <c r="AA30" s="152" t="str">
        <f>IFERROR(SUMIFS(TME[[#All],[Total Truncated Claims Spending]],TME[[#All],[Reporting Year]],2019,TME[[#All],[Insurance Category Code]],3,TME[[#All],[Large Provider Entity Code]],W30)/Y30,"NA")</f>
        <v>NA</v>
      </c>
      <c r="AB30" s="152" t="str">
        <f>IFERROR(SUMIFS(TME[[#All],[Total Non-Claims Spending]],TME[[#All],[Reporting Year]],2019,TME[[#All],[Insurance Category Code]],3,TME[[#All],[Large Provider Entity Code]],W30)/Y30,"NA")</f>
        <v>NA</v>
      </c>
      <c r="AC30" s="152" t="str">
        <f>IFERROR(SUMIFS(TME[[#All],[Total Non-Truncated Claims and Non-Claims Spending]],TME[[#All],[Reporting Year]],2019,TME[[#All],[Insurance Category Code]],3,TME[[#All],[Large Provider Entity Code]],W30)/Y30,"NA")</f>
        <v>NA</v>
      </c>
      <c r="AD30" s="152" t="str">
        <f>IFERROR(SUMIFS(TME[[#All],[Truncated Total Expenses (Total Truncated Claims Expenses + Non-Claims Expenses)]],TME[[#All],[Reporting Year]],2019,TME[[#All],[Insurance Category Code]],3,TME[[#All],[Large Provider Entity Code]],W30)/Y30,"NA")</f>
        <v>NA</v>
      </c>
      <c r="AE30" s="141">
        <f>SUMIFS(TME[[#All],[Member Months]],TME[[#All],[Reporting Year]],2020,TME[[#All],[Insurance Category Code]],3,TME[[#All],[Large Provider Entity Code]],W30)</f>
        <v>0</v>
      </c>
      <c r="AF30" s="152" t="str">
        <f>IFERROR(SUMIFS(TME[[#All],[Total Non-Truncated Claims Spending]],TME[[#All],[Reporting Year]],2020,TME[[#All],[Insurance Category Code]],3,TME[[#All],[Large Provider Entity Code]],W30)/AE30,"NA")</f>
        <v>NA</v>
      </c>
      <c r="AG30" s="152" t="str">
        <f>IFERROR(SUMIFS(TME[[#All],[Total Truncated Claims Spending]],TME[[#All],[Reporting Year]],2020,TME[[#All],[Insurance Category Code]],3,TME[[#All],[Large Provider Entity Code]],W30)/AE30,"NA")</f>
        <v>NA</v>
      </c>
      <c r="AH30" s="152" t="str">
        <f>IFERROR(SUMIFS(TME[[#All],[Total Non-Claims Spending]],TME[[#All],[Reporting Year]],2020,TME[[#All],[Insurance Category Code]],3,TME[[#All],[Large Provider Entity Code]],W30)/AE30,"NA")</f>
        <v>NA</v>
      </c>
      <c r="AI30" s="152" t="str">
        <f>IFERROR(SUMIFS(TME[[#All],[Total Non-Truncated Claims and Non-Claims Spending]],TME[[#All],[Reporting Year]],2020,TME[[#All],[Insurance Category Code]],3,TME[[#All],[Large Provider Entity Code]],W30)/AE30,"NA")</f>
        <v>NA</v>
      </c>
      <c r="AJ30" s="152" t="str">
        <f>IFERROR(SUMIFS(TME[[#All],[Truncated Total Expenses (Total Truncated Claims Expenses + Non-Claims Expenses)]],TME[[#All],[Reporting Year]],2020,TME[[#All],[Insurance Category Code]],3,TME[[#All],[Large Provider Entity Code]],W30)/AE30,"NA")</f>
        <v>NA</v>
      </c>
      <c r="AK30" s="154" t="str">
        <f t="shared" si="60"/>
        <v>NA</v>
      </c>
      <c r="AL30" s="154" t="str">
        <f t="shared" si="61"/>
        <v>NA</v>
      </c>
      <c r="AM30" s="154" t="str">
        <f t="shared" si="62"/>
        <v>NA</v>
      </c>
      <c r="AN30" s="154" t="str">
        <f t="shared" si="63"/>
        <v>NA</v>
      </c>
      <c r="AO30" s="154" t="str">
        <f t="shared" si="64"/>
        <v>NA</v>
      </c>
      <c r="AP30" s="154" t="str">
        <f t="shared" si="65"/>
        <v>NA</v>
      </c>
      <c r="AR30" s="123">
        <v>104</v>
      </c>
      <c r="AS30" s="103" t="s">
        <v>249</v>
      </c>
      <c r="AT30" s="141">
        <f>SUMIFS(TME[[#All],[Member Months]],TME[[#All],[Reporting Year]],2020,TME[[#All],[Insurance Category Code]],3,TME[[#All],[Large Provider Entity Code]],AR30)</f>
        <v>0</v>
      </c>
      <c r="AU30" s="152" t="str">
        <f>IFERROR(SUMIFS(TME[[#All],[Total Non-Truncated Claims Spending]],TME[[#All],[Reporting Year]],2020,TME[[#All],[Insurance Category Code]],3,TME[[#All],[Large Provider Entity Code]],AR30)/AT30,"NA")</f>
        <v>NA</v>
      </c>
      <c r="AV30" s="152" t="str">
        <f>IFERROR(SUMIFS(TME[[#All],[Total Truncated Claims Spending]],TME[[#All],[Reporting Year]],2020,TME[[#All],[Insurance Category Code]],3,TME[[#All],[Large Provider Entity Code]],AR30)/AT30,"NA")</f>
        <v>NA</v>
      </c>
      <c r="AW30" s="152" t="str">
        <f>IFERROR(SUMIFS(TME[[#All],[Total Non-Claims Spending]],TME[[#All],[Reporting Year]],2020,TME[[#All],[Insurance Category Code]],3,TME[[#All],[Large Provider Entity Code]],AR30)/AT30,"NA")</f>
        <v>NA</v>
      </c>
      <c r="AX30" s="152" t="str">
        <f>IFERROR(SUMIFS(TME[[#All],[Total Non-Truncated Claims and Non-Claims Spending]],TME[[#All],[Reporting Year]],2020,TME[[#All],[Insurance Category Code]],3,TME[[#All],[Large Provider Entity Code]],AR30)/AT30,"NA")</f>
        <v>NA</v>
      </c>
      <c r="AY30" s="152" t="str">
        <f>IFERROR(SUMIFS(TME[[#All],[Truncated Total Expenses (Total Truncated Claims Expenses + Non-Claims Expenses)]],TME[[#All],[Reporting Year]],2020,TME[[#All],[Insurance Category Code]],3,TME[[#All],[Large Provider Entity Code]],AR30)/AT30,"NA")</f>
        <v>NA</v>
      </c>
      <c r="AZ30" s="141">
        <f>SUMIFS(TME[[#All],[Member Months]],TME[[#All],[Reporting Year]],2021,TME[[#All],[Insurance Category Code]],3,TME[[#All],[Large Provider Entity Code]],AR30)</f>
        <v>0</v>
      </c>
      <c r="BA30" s="152" t="str">
        <f>IFERROR(SUMIFS(TME[[#All],[Total Non-Truncated Claims Spending]],TME[[#All],[Reporting Year]],2021,TME[[#All],[Insurance Category Code]],3,TME[[#All],[Large Provider Entity Code]],AR30)/AZ30,"NA")</f>
        <v>NA</v>
      </c>
      <c r="BB30" s="152" t="str">
        <f>IFERROR(SUMIFS(TME[[#All],[Total Truncated Claims Spending]],TME[[#All],[Reporting Year]],2021,TME[[#All],[Insurance Category Code]],3,TME[[#All],[Large Provider Entity Code]],AR30)/AZ30,"NA")</f>
        <v>NA</v>
      </c>
      <c r="BC30" s="152" t="str">
        <f>IFERROR(SUMIFS(TME[[#All],[Total Non-Claims Spending]],TME[[#All],[Reporting Year]],2021,TME[[#All],[Insurance Category Code]],3,TME[[#All],[Large Provider Entity Code]],AR30)/AZ30,"NA")</f>
        <v>NA</v>
      </c>
      <c r="BD30" s="152" t="str">
        <f>IFERROR(SUMIFS(TME[[#All],[Total Non-Truncated Claims and Non-Claims Spending]],TME[[#All],[Reporting Year]],2021,TME[[#All],[Insurance Category Code]],3,TME[[#All],[Large Provider Entity Code]],AR30)/AZ30,"NA")</f>
        <v>NA</v>
      </c>
      <c r="BE30" s="152" t="str">
        <f>IFERROR(SUMIFS(TME[[#All],[Truncated Total Expenses (Total Truncated Claims Expenses + Non-Claims Expenses)]],TME[[#All],[Reporting Year]],2021,TME[[#All],[Insurance Category Code]],3,TME[[#All],[Large Provider Entity Code]],AR30)/AZ30,"NA")</f>
        <v>NA</v>
      </c>
      <c r="BF30" s="154" t="str">
        <f t="shared" si="66"/>
        <v>NA</v>
      </c>
      <c r="BG30" s="154" t="str">
        <f t="shared" si="67"/>
        <v>NA</v>
      </c>
      <c r="BH30" s="154" t="str">
        <f t="shared" si="68"/>
        <v>NA</v>
      </c>
      <c r="BI30" s="154" t="str">
        <f t="shared" si="69"/>
        <v>NA</v>
      </c>
      <c r="BJ30" s="154" t="str">
        <f t="shared" si="70"/>
        <v>NA</v>
      </c>
      <c r="BK30" s="154" t="str">
        <f t="shared" si="71"/>
        <v>NA</v>
      </c>
    </row>
    <row r="31" spans="2:63" x14ac:dyDescent="0.35">
      <c r="B31" s="123">
        <v>105</v>
      </c>
      <c r="C31" s="103" t="s">
        <v>293</v>
      </c>
      <c r="D31" s="141">
        <f>SUMIFS(TME[[#All],[Member Months]],TME[[#All],[Reporting Year]],2018,TME[[#All],[Insurance Category Code]],3,TME[[#All],[Large Provider Entity Code]],B31)</f>
        <v>0</v>
      </c>
      <c r="E31" s="152" t="str">
        <f>IFERROR(SUMIFS(TME[[#All],[Total Non-Truncated Claims Spending]],TME[[#All],[Reporting Year]],2018,TME[[#All],[Insurance Category Code]],3,TME[[#All],[Large Provider Entity Code]],B31)/D31,"NA")</f>
        <v>NA</v>
      </c>
      <c r="F31" s="152" t="str">
        <f>IFERROR(SUMIFS(TME[[#All],[Total Truncated Claims Spending]],TME[[#All],[Reporting Year]],2018,TME[[#All],[Insurance Category Code]],3,TME[[#All],[Large Provider Entity Code]],B31)/D31,"NA")</f>
        <v>NA</v>
      </c>
      <c r="G31" s="152" t="str">
        <f>IFERROR(SUMIFS(TME[[#All],[Total Non-Claims Spending]],TME[[#All],[Reporting Year]],2018,TME[[#All],[Insurance Category Code]],3,TME[[#All],[Large Provider Entity Code]],B31)/D31,"NA")</f>
        <v>NA</v>
      </c>
      <c r="H31" s="152" t="str">
        <f>IFERROR(SUMIFS(TME[[#All],[Total Non-Truncated Claims and Non-Claims Spending]],TME[[#All],[Reporting Year]],2018,TME[[#All],[Insurance Category Code]],3,TME[[#All],[Large Provider Entity Code]],B31)/D31,"NA")</f>
        <v>NA</v>
      </c>
      <c r="I31" s="152" t="str">
        <f>IFERROR(SUMIFS(TME[[#All],[Truncated Total Expenses (Total Truncated Claims Expenses + Non-Claims Expenses)]],TME[[#All],[Reporting Year]],2018,TME[[#All],[Insurance Category Code]],3,TME[[#All],[Large Provider Entity Code]],B31)/D31,"NA")</f>
        <v>NA</v>
      </c>
      <c r="J31" s="141">
        <f>SUMIFS(TME[[#All],[Member Months]],TME[[#All],[Reporting Year]],2019,TME[[#All],[Insurance Category Code]],3,TME[[#All],[Large Provider Entity Code]],B31)</f>
        <v>0</v>
      </c>
      <c r="K31" s="152" t="str">
        <f>IFERROR(SUMIFS(TME[[#All],[Total Non-Truncated Claims Spending]],TME[[#All],[Reporting Year]],2019,TME[[#All],[Insurance Category Code]],3,TME[[#All],[Large Provider Entity Code]],B31)/J31,"NA")</f>
        <v>NA</v>
      </c>
      <c r="L31" s="152" t="str">
        <f>IFERROR(SUMIFS(TME[[#All],[Total Truncated Claims Spending]],TME[[#All],[Reporting Year]],2019,TME[[#All],[Insurance Category Code]],3,TME[[#All],[Large Provider Entity Code]],B31)/J31,"NA")</f>
        <v>NA</v>
      </c>
      <c r="M31" s="152" t="str">
        <f>IFERROR(SUMIFS(TME[[#All],[Total Non-Claims Spending]],TME[[#All],[Reporting Year]],2019,TME[[#All],[Insurance Category Code]],3,TME[[#All],[Large Provider Entity Code]],B31)/J31,"NA")</f>
        <v>NA</v>
      </c>
      <c r="N31" s="152" t="str">
        <f>IFERROR(SUMIFS(TME[[#All],[Total Non-Truncated Claims and Non-Claims Spending]],TME[[#All],[Reporting Year]],2019,TME[[#All],[Insurance Category Code]],3,TME[[#All],[Large Provider Entity Code]],B31)/J31,"NA")</f>
        <v>NA</v>
      </c>
      <c r="O31" s="152" t="str">
        <f>IFERROR(SUMIFS(TME[[#All],[Truncated Total Expenses (Total Truncated Claims Expenses + Non-Claims Expenses)]],TME[[#All],[Reporting Year]],2019,TME[[#All],[Insurance Category Code]],3,TME[[#All],[Large Provider Entity Code]],B31)/J31,"NA")</f>
        <v>NA</v>
      </c>
      <c r="P31" s="154" t="str">
        <f t="shared" si="54"/>
        <v>NA</v>
      </c>
      <c r="Q31" s="154" t="str">
        <f t="shared" si="55"/>
        <v>NA</v>
      </c>
      <c r="R31" s="154" t="str">
        <f t="shared" si="56"/>
        <v>NA</v>
      </c>
      <c r="S31" s="154" t="str">
        <f t="shared" si="57"/>
        <v>NA</v>
      </c>
      <c r="T31" s="154" t="str">
        <f t="shared" si="58"/>
        <v>NA</v>
      </c>
      <c r="U31" s="154" t="str">
        <f t="shared" si="59"/>
        <v>NA</v>
      </c>
      <c r="W31" s="123">
        <v>105</v>
      </c>
      <c r="X31" s="103" t="s">
        <v>293</v>
      </c>
      <c r="Y31" s="141">
        <f>SUMIFS(TME[[#All],[Member Months]],TME[[#All],[Reporting Year]],2019,TME[[#All],[Insurance Category Code]],3,TME[[#All],[Large Provider Entity Code]],W31)</f>
        <v>0</v>
      </c>
      <c r="Z31" s="152" t="str">
        <f>IFERROR(SUMIFS(TME[[#All],[Total Non-Truncated Claims Spending]],TME[[#All],[Reporting Year]],2019,TME[[#All],[Insurance Category Code]],3,TME[[#All],[Large Provider Entity Code]],W31)/Y31,"NA")</f>
        <v>NA</v>
      </c>
      <c r="AA31" s="152" t="str">
        <f>IFERROR(SUMIFS(TME[[#All],[Total Truncated Claims Spending]],TME[[#All],[Reporting Year]],2019,TME[[#All],[Insurance Category Code]],3,TME[[#All],[Large Provider Entity Code]],W31)/Y31,"NA")</f>
        <v>NA</v>
      </c>
      <c r="AB31" s="152" t="str">
        <f>IFERROR(SUMIFS(TME[[#All],[Total Non-Claims Spending]],TME[[#All],[Reporting Year]],2019,TME[[#All],[Insurance Category Code]],3,TME[[#All],[Large Provider Entity Code]],W31)/Y31,"NA")</f>
        <v>NA</v>
      </c>
      <c r="AC31" s="152" t="str">
        <f>IFERROR(SUMIFS(TME[[#All],[Total Non-Truncated Claims and Non-Claims Spending]],TME[[#All],[Reporting Year]],2019,TME[[#All],[Insurance Category Code]],3,TME[[#All],[Large Provider Entity Code]],W31)/Y31,"NA")</f>
        <v>NA</v>
      </c>
      <c r="AD31" s="152" t="str">
        <f>IFERROR(SUMIFS(TME[[#All],[Truncated Total Expenses (Total Truncated Claims Expenses + Non-Claims Expenses)]],TME[[#All],[Reporting Year]],2019,TME[[#All],[Insurance Category Code]],3,TME[[#All],[Large Provider Entity Code]],W31)/Y31,"NA")</f>
        <v>NA</v>
      </c>
      <c r="AE31" s="141">
        <f>SUMIFS(TME[[#All],[Member Months]],TME[[#All],[Reporting Year]],2020,TME[[#All],[Insurance Category Code]],3,TME[[#All],[Large Provider Entity Code]],W31)</f>
        <v>0</v>
      </c>
      <c r="AF31" s="152" t="str">
        <f>IFERROR(SUMIFS(TME[[#All],[Total Non-Truncated Claims Spending]],TME[[#All],[Reporting Year]],2020,TME[[#All],[Insurance Category Code]],3,TME[[#All],[Large Provider Entity Code]],W31)/AE31,"NA")</f>
        <v>NA</v>
      </c>
      <c r="AG31" s="152" t="str">
        <f>IFERROR(SUMIFS(TME[[#All],[Total Truncated Claims Spending]],TME[[#All],[Reporting Year]],2020,TME[[#All],[Insurance Category Code]],3,TME[[#All],[Large Provider Entity Code]],W31)/AE31,"NA")</f>
        <v>NA</v>
      </c>
      <c r="AH31" s="152" t="str">
        <f>IFERROR(SUMIFS(TME[[#All],[Total Non-Claims Spending]],TME[[#All],[Reporting Year]],2020,TME[[#All],[Insurance Category Code]],3,TME[[#All],[Large Provider Entity Code]],W31)/AE31,"NA")</f>
        <v>NA</v>
      </c>
      <c r="AI31" s="152" t="str">
        <f>IFERROR(SUMIFS(TME[[#All],[Total Non-Truncated Claims and Non-Claims Spending]],TME[[#All],[Reporting Year]],2020,TME[[#All],[Insurance Category Code]],3,TME[[#All],[Large Provider Entity Code]],W31)/AE31,"NA")</f>
        <v>NA</v>
      </c>
      <c r="AJ31" s="152" t="str">
        <f>IFERROR(SUMIFS(TME[[#All],[Truncated Total Expenses (Total Truncated Claims Expenses + Non-Claims Expenses)]],TME[[#All],[Reporting Year]],2020,TME[[#All],[Insurance Category Code]],3,TME[[#All],[Large Provider Entity Code]],W31)/AE31,"NA")</f>
        <v>NA</v>
      </c>
      <c r="AK31" s="154" t="str">
        <f t="shared" si="60"/>
        <v>NA</v>
      </c>
      <c r="AL31" s="154" t="str">
        <f t="shared" si="61"/>
        <v>NA</v>
      </c>
      <c r="AM31" s="154" t="str">
        <f t="shared" si="62"/>
        <v>NA</v>
      </c>
      <c r="AN31" s="154" t="str">
        <f t="shared" si="63"/>
        <v>NA</v>
      </c>
      <c r="AO31" s="154" t="str">
        <f t="shared" si="64"/>
        <v>NA</v>
      </c>
      <c r="AP31" s="154" t="str">
        <f t="shared" si="65"/>
        <v>NA</v>
      </c>
      <c r="AR31" s="123">
        <v>105</v>
      </c>
      <c r="AS31" s="103" t="s">
        <v>293</v>
      </c>
      <c r="AT31" s="141">
        <f>SUMIFS(TME[[#All],[Member Months]],TME[[#All],[Reporting Year]],2020,TME[[#All],[Insurance Category Code]],3,TME[[#All],[Large Provider Entity Code]],AR31)</f>
        <v>0</v>
      </c>
      <c r="AU31" s="152" t="str">
        <f>IFERROR(SUMIFS(TME[[#All],[Total Non-Truncated Claims Spending]],TME[[#All],[Reporting Year]],2020,TME[[#All],[Insurance Category Code]],3,TME[[#All],[Large Provider Entity Code]],AR31)/AT31,"NA")</f>
        <v>NA</v>
      </c>
      <c r="AV31" s="152" t="str">
        <f>IFERROR(SUMIFS(TME[[#All],[Total Truncated Claims Spending]],TME[[#All],[Reporting Year]],2020,TME[[#All],[Insurance Category Code]],3,TME[[#All],[Large Provider Entity Code]],AR31)/AT31,"NA")</f>
        <v>NA</v>
      </c>
      <c r="AW31" s="152" t="str">
        <f>IFERROR(SUMIFS(TME[[#All],[Total Non-Claims Spending]],TME[[#All],[Reporting Year]],2020,TME[[#All],[Insurance Category Code]],3,TME[[#All],[Large Provider Entity Code]],AR31)/AT31,"NA")</f>
        <v>NA</v>
      </c>
      <c r="AX31" s="152" t="str">
        <f>IFERROR(SUMIFS(TME[[#All],[Total Non-Truncated Claims and Non-Claims Spending]],TME[[#All],[Reporting Year]],2020,TME[[#All],[Insurance Category Code]],3,TME[[#All],[Large Provider Entity Code]],AR31)/AT31,"NA")</f>
        <v>NA</v>
      </c>
      <c r="AY31" s="152" t="str">
        <f>IFERROR(SUMIFS(TME[[#All],[Truncated Total Expenses (Total Truncated Claims Expenses + Non-Claims Expenses)]],TME[[#All],[Reporting Year]],2020,TME[[#All],[Insurance Category Code]],3,TME[[#All],[Large Provider Entity Code]],AR31)/AT31,"NA")</f>
        <v>NA</v>
      </c>
      <c r="AZ31" s="141">
        <f>SUMIFS(TME[[#All],[Member Months]],TME[[#All],[Reporting Year]],2021,TME[[#All],[Insurance Category Code]],3,TME[[#All],[Large Provider Entity Code]],AR31)</f>
        <v>0</v>
      </c>
      <c r="BA31" s="152" t="str">
        <f>IFERROR(SUMIFS(TME[[#All],[Total Non-Truncated Claims Spending]],TME[[#All],[Reporting Year]],2021,TME[[#All],[Insurance Category Code]],3,TME[[#All],[Large Provider Entity Code]],AR31)/AZ31,"NA")</f>
        <v>NA</v>
      </c>
      <c r="BB31" s="152" t="str">
        <f>IFERROR(SUMIFS(TME[[#All],[Total Truncated Claims Spending]],TME[[#All],[Reporting Year]],2021,TME[[#All],[Insurance Category Code]],3,TME[[#All],[Large Provider Entity Code]],AR31)/AZ31,"NA")</f>
        <v>NA</v>
      </c>
      <c r="BC31" s="152" t="str">
        <f>IFERROR(SUMIFS(TME[[#All],[Total Non-Claims Spending]],TME[[#All],[Reporting Year]],2021,TME[[#All],[Insurance Category Code]],3,TME[[#All],[Large Provider Entity Code]],AR31)/AZ31,"NA")</f>
        <v>NA</v>
      </c>
      <c r="BD31" s="152" t="str">
        <f>IFERROR(SUMIFS(TME[[#All],[Total Non-Truncated Claims and Non-Claims Spending]],TME[[#All],[Reporting Year]],2021,TME[[#All],[Insurance Category Code]],3,TME[[#All],[Large Provider Entity Code]],AR31)/AZ31,"NA")</f>
        <v>NA</v>
      </c>
      <c r="BE31" s="152" t="str">
        <f>IFERROR(SUMIFS(TME[[#All],[Truncated Total Expenses (Total Truncated Claims Expenses + Non-Claims Expenses)]],TME[[#All],[Reporting Year]],2021,TME[[#All],[Insurance Category Code]],3,TME[[#All],[Large Provider Entity Code]],AR31)/AZ31,"NA")</f>
        <v>NA</v>
      </c>
      <c r="BF31" s="154" t="str">
        <f t="shared" si="66"/>
        <v>NA</v>
      </c>
      <c r="BG31" s="154" t="str">
        <f t="shared" si="67"/>
        <v>NA</v>
      </c>
      <c r="BH31" s="154" t="str">
        <f t="shared" si="68"/>
        <v>NA</v>
      </c>
      <c r="BI31" s="154" t="str">
        <f t="shared" si="69"/>
        <v>NA</v>
      </c>
      <c r="BJ31" s="154" t="str">
        <f t="shared" si="70"/>
        <v>NA</v>
      </c>
      <c r="BK31" s="154" t="str">
        <f t="shared" si="71"/>
        <v>NA</v>
      </c>
    </row>
    <row r="32" spans="2:63" x14ac:dyDescent="0.35">
      <c r="B32" s="123">
        <v>106</v>
      </c>
      <c r="C32" s="103" t="s">
        <v>250</v>
      </c>
      <c r="D32" s="141">
        <f>SUMIFS(TME[[#All],[Member Months]],TME[[#All],[Reporting Year]],2018,TME[[#All],[Insurance Category Code]],3,TME[[#All],[Large Provider Entity Code]],B32)</f>
        <v>0</v>
      </c>
      <c r="E32" s="152" t="str">
        <f>IFERROR(SUMIFS(TME[[#All],[Total Non-Truncated Claims Spending]],TME[[#All],[Reporting Year]],2018,TME[[#All],[Insurance Category Code]],3,TME[[#All],[Large Provider Entity Code]],B32)/D32,"NA")</f>
        <v>NA</v>
      </c>
      <c r="F32" s="152" t="str">
        <f>IFERROR(SUMIFS(TME[[#All],[Total Truncated Claims Spending]],TME[[#All],[Reporting Year]],2018,TME[[#All],[Insurance Category Code]],3,TME[[#All],[Large Provider Entity Code]],B32)/D32,"NA")</f>
        <v>NA</v>
      </c>
      <c r="G32" s="152" t="str">
        <f>IFERROR(SUMIFS(TME[[#All],[Total Non-Claims Spending]],TME[[#All],[Reporting Year]],2018,TME[[#All],[Insurance Category Code]],3,TME[[#All],[Large Provider Entity Code]],B32)/D32,"NA")</f>
        <v>NA</v>
      </c>
      <c r="H32" s="152" t="str">
        <f>IFERROR(SUMIFS(TME[[#All],[Total Non-Truncated Claims and Non-Claims Spending]],TME[[#All],[Reporting Year]],2018,TME[[#All],[Insurance Category Code]],3,TME[[#All],[Large Provider Entity Code]],B32)/D32,"NA")</f>
        <v>NA</v>
      </c>
      <c r="I32" s="152" t="str">
        <f>IFERROR(SUMIFS(TME[[#All],[Truncated Total Expenses (Total Truncated Claims Expenses + Non-Claims Expenses)]],TME[[#All],[Reporting Year]],2018,TME[[#All],[Insurance Category Code]],3,TME[[#All],[Large Provider Entity Code]],B32)/D32,"NA")</f>
        <v>NA</v>
      </c>
      <c r="J32" s="141">
        <f>SUMIFS(TME[[#All],[Member Months]],TME[[#All],[Reporting Year]],2019,TME[[#All],[Insurance Category Code]],3,TME[[#All],[Large Provider Entity Code]],B32)</f>
        <v>0</v>
      </c>
      <c r="K32" s="152" t="str">
        <f>IFERROR(SUMIFS(TME[[#All],[Total Non-Truncated Claims Spending]],TME[[#All],[Reporting Year]],2019,TME[[#All],[Insurance Category Code]],3,TME[[#All],[Large Provider Entity Code]],B32)/J32,"NA")</f>
        <v>NA</v>
      </c>
      <c r="L32" s="152" t="str">
        <f>IFERROR(SUMIFS(TME[[#All],[Total Truncated Claims Spending]],TME[[#All],[Reporting Year]],2019,TME[[#All],[Insurance Category Code]],3,TME[[#All],[Large Provider Entity Code]],B32)/J32,"NA")</f>
        <v>NA</v>
      </c>
      <c r="M32" s="152" t="str">
        <f>IFERROR(SUMIFS(TME[[#All],[Total Non-Claims Spending]],TME[[#All],[Reporting Year]],2019,TME[[#All],[Insurance Category Code]],3,TME[[#All],[Large Provider Entity Code]],B32)/J32,"NA")</f>
        <v>NA</v>
      </c>
      <c r="N32" s="152" t="str">
        <f>IFERROR(SUMIFS(TME[[#All],[Total Non-Truncated Claims and Non-Claims Spending]],TME[[#All],[Reporting Year]],2019,TME[[#All],[Insurance Category Code]],3,TME[[#All],[Large Provider Entity Code]],B32)/J32,"NA")</f>
        <v>NA</v>
      </c>
      <c r="O32" s="152" t="str">
        <f>IFERROR(SUMIFS(TME[[#All],[Truncated Total Expenses (Total Truncated Claims Expenses + Non-Claims Expenses)]],TME[[#All],[Reporting Year]],2019,TME[[#All],[Insurance Category Code]],3,TME[[#All],[Large Provider Entity Code]],B32)/J32,"NA")</f>
        <v>NA</v>
      </c>
      <c r="P32" s="154" t="str">
        <f t="shared" si="54"/>
        <v>NA</v>
      </c>
      <c r="Q32" s="154" t="str">
        <f t="shared" si="55"/>
        <v>NA</v>
      </c>
      <c r="R32" s="154" t="str">
        <f t="shared" si="56"/>
        <v>NA</v>
      </c>
      <c r="S32" s="154" t="str">
        <f t="shared" si="57"/>
        <v>NA</v>
      </c>
      <c r="T32" s="154" t="str">
        <f t="shared" si="58"/>
        <v>NA</v>
      </c>
      <c r="U32" s="154" t="str">
        <f t="shared" si="59"/>
        <v>NA</v>
      </c>
      <c r="W32" s="123">
        <v>106</v>
      </c>
      <c r="X32" s="103" t="s">
        <v>250</v>
      </c>
      <c r="Y32" s="141">
        <f>SUMIFS(TME[[#All],[Member Months]],TME[[#All],[Reporting Year]],2019,TME[[#All],[Insurance Category Code]],3,TME[[#All],[Large Provider Entity Code]],W32)</f>
        <v>0</v>
      </c>
      <c r="Z32" s="152" t="str">
        <f>IFERROR(SUMIFS(TME[[#All],[Total Non-Truncated Claims Spending]],TME[[#All],[Reporting Year]],2019,TME[[#All],[Insurance Category Code]],3,TME[[#All],[Large Provider Entity Code]],W32)/Y32,"NA")</f>
        <v>NA</v>
      </c>
      <c r="AA32" s="152" t="str">
        <f>IFERROR(SUMIFS(TME[[#All],[Total Truncated Claims Spending]],TME[[#All],[Reporting Year]],2019,TME[[#All],[Insurance Category Code]],3,TME[[#All],[Large Provider Entity Code]],W32)/Y32,"NA")</f>
        <v>NA</v>
      </c>
      <c r="AB32" s="152" t="str">
        <f>IFERROR(SUMIFS(TME[[#All],[Total Non-Claims Spending]],TME[[#All],[Reporting Year]],2019,TME[[#All],[Insurance Category Code]],3,TME[[#All],[Large Provider Entity Code]],W32)/Y32,"NA")</f>
        <v>NA</v>
      </c>
      <c r="AC32" s="152" t="str">
        <f>IFERROR(SUMIFS(TME[[#All],[Total Non-Truncated Claims and Non-Claims Spending]],TME[[#All],[Reporting Year]],2019,TME[[#All],[Insurance Category Code]],3,TME[[#All],[Large Provider Entity Code]],W32)/Y32,"NA")</f>
        <v>NA</v>
      </c>
      <c r="AD32" s="152" t="str">
        <f>IFERROR(SUMIFS(TME[[#All],[Truncated Total Expenses (Total Truncated Claims Expenses + Non-Claims Expenses)]],TME[[#All],[Reporting Year]],2019,TME[[#All],[Insurance Category Code]],3,TME[[#All],[Large Provider Entity Code]],W32)/Y32,"NA")</f>
        <v>NA</v>
      </c>
      <c r="AE32" s="141">
        <f>SUMIFS(TME[[#All],[Member Months]],TME[[#All],[Reporting Year]],2020,TME[[#All],[Insurance Category Code]],3,TME[[#All],[Large Provider Entity Code]],W32)</f>
        <v>0</v>
      </c>
      <c r="AF32" s="152" t="str">
        <f>IFERROR(SUMIFS(TME[[#All],[Total Non-Truncated Claims Spending]],TME[[#All],[Reporting Year]],2020,TME[[#All],[Insurance Category Code]],3,TME[[#All],[Large Provider Entity Code]],W32)/AE32,"NA")</f>
        <v>NA</v>
      </c>
      <c r="AG32" s="152" t="str">
        <f>IFERROR(SUMIFS(TME[[#All],[Total Truncated Claims Spending]],TME[[#All],[Reporting Year]],2020,TME[[#All],[Insurance Category Code]],3,TME[[#All],[Large Provider Entity Code]],W32)/AE32,"NA")</f>
        <v>NA</v>
      </c>
      <c r="AH32" s="152" t="str">
        <f>IFERROR(SUMIFS(TME[[#All],[Total Non-Claims Spending]],TME[[#All],[Reporting Year]],2020,TME[[#All],[Insurance Category Code]],3,TME[[#All],[Large Provider Entity Code]],W32)/AE32,"NA")</f>
        <v>NA</v>
      </c>
      <c r="AI32" s="152" t="str">
        <f>IFERROR(SUMIFS(TME[[#All],[Total Non-Truncated Claims and Non-Claims Spending]],TME[[#All],[Reporting Year]],2020,TME[[#All],[Insurance Category Code]],3,TME[[#All],[Large Provider Entity Code]],W32)/AE32,"NA")</f>
        <v>NA</v>
      </c>
      <c r="AJ32" s="152" t="str">
        <f>IFERROR(SUMIFS(TME[[#All],[Truncated Total Expenses (Total Truncated Claims Expenses + Non-Claims Expenses)]],TME[[#All],[Reporting Year]],2020,TME[[#All],[Insurance Category Code]],3,TME[[#All],[Large Provider Entity Code]],W32)/AE32,"NA")</f>
        <v>NA</v>
      </c>
      <c r="AK32" s="154" t="str">
        <f t="shared" si="60"/>
        <v>NA</v>
      </c>
      <c r="AL32" s="154" t="str">
        <f t="shared" si="61"/>
        <v>NA</v>
      </c>
      <c r="AM32" s="154" t="str">
        <f t="shared" si="62"/>
        <v>NA</v>
      </c>
      <c r="AN32" s="154" t="str">
        <f t="shared" si="63"/>
        <v>NA</v>
      </c>
      <c r="AO32" s="154" t="str">
        <f t="shared" si="64"/>
        <v>NA</v>
      </c>
      <c r="AP32" s="154" t="str">
        <f t="shared" si="65"/>
        <v>NA</v>
      </c>
      <c r="AR32" s="123">
        <v>106</v>
      </c>
      <c r="AS32" s="103" t="s">
        <v>250</v>
      </c>
      <c r="AT32" s="141">
        <f>SUMIFS(TME[[#All],[Member Months]],TME[[#All],[Reporting Year]],2020,TME[[#All],[Insurance Category Code]],3,TME[[#All],[Large Provider Entity Code]],AR32)</f>
        <v>0</v>
      </c>
      <c r="AU32" s="152" t="str">
        <f>IFERROR(SUMIFS(TME[[#All],[Total Non-Truncated Claims Spending]],TME[[#All],[Reporting Year]],2020,TME[[#All],[Insurance Category Code]],3,TME[[#All],[Large Provider Entity Code]],AR32)/AT32,"NA")</f>
        <v>NA</v>
      </c>
      <c r="AV32" s="152" t="str">
        <f>IFERROR(SUMIFS(TME[[#All],[Total Truncated Claims Spending]],TME[[#All],[Reporting Year]],2020,TME[[#All],[Insurance Category Code]],3,TME[[#All],[Large Provider Entity Code]],AR32)/AT32,"NA")</f>
        <v>NA</v>
      </c>
      <c r="AW32" s="152" t="str">
        <f>IFERROR(SUMIFS(TME[[#All],[Total Non-Claims Spending]],TME[[#All],[Reporting Year]],2020,TME[[#All],[Insurance Category Code]],3,TME[[#All],[Large Provider Entity Code]],AR32)/AT32,"NA")</f>
        <v>NA</v>
      </c>
      <c r="AX32" s="152" t="str">
        <f>IFERROR(SUMIFS(TME[[#All],[Total Non-Truncated Claims and Non-Claims Spending]],TME[[#All],[Reporting Year]],2020,TME[[#All],[Insurance Category Code]],3,TME[[#All],[Large Provider Entity Code]],AR32)/AT32,"NA")</f>
        <v>NA</v>
      </c>
      <c r="AY32" s="152" t="str">
        <f>IFERROR(SUMIFS(TME[[#All],[Truncated Total Expenses (Total Truncated Claims Expenses + Non-Claims Expenses)]],TME[[#All],[Reporting Year]],2020,TME[[#All],[Insurance Category Code]],3,TME[[#All],[Large Provider Entity Code]],AR32)/AT32,"NA")</f>
        <v>NA</v>
      </c>
      <c r="AZ32" s="141">
        <f>SUMIFS(TME[[#All],[Member Months]],TME[[#All],[Reporting Year]],2021,TME[[#All],[Insurance Category Code]],3,TME[[#All],[Large Provider Entity Code]],AR32)</f>
        <v>0</v>
      </c>
      <c r="BA32" s="152" t="str">
        <f>IFERROR(SUMIFS(TME[[#All],[Total Non-Truncated Claims Spending]],TME[[#All],[Reporting Year]],2021,TME[[#All],[Insurance Category Code]],3,TME[[#All],[Large Provider Entity Code]],AR32)/AZ32,"NA")</f>
        <v>NA</v>
      </c>
      <c r="BB32" s="152" t="str">
        <f>IFERROR(SUMIFS(TME[[#All],[Total Truncated Claims Spending]],TME[[#All],[Reporting Year]],2021,TME[[#All],[Insurance Category Code]],3,TME[[#All],[Large Provider Entity Code]],AR32)/AZ32,"NA")</f>
        <v>NA</v>
      </c>
      <c r="BC32" s="152" t="str">
        <f>IFERROR(SUMIFS(TME[[#All],[Total Non-Claims Spending]],TME[[#All],[Reporting Year]],2021,TME[[#All],[Insurance Category Code]],3,TME[[#All],[Large Provider Entity Code]],AR32)/AZ32,"NA")</f>
        <v>NA</v>
      </c>
      <c r="BD32" s="152" t="str">
        <f>IFERROR(SUMIFS(TME[[#All],[Total Non-Truncated Claims and Non-Claims Spending]],TME[[#All],[Reporting Year]],2021,TME[[#All],[Insurance Category Code]],3,TME[[#All],[Large Provider Entity Code]],AR32)/AZ32,"NA")</f>
        <v>NA</v>
      </c>
      <c r="BE32" s="152" t="str">
        <f>IFERROR(SUMIFS(TME[[#All],[Truncated Total Expenses (Total Truncated Claims Expenses + Non-Claims Expenses)]],TME[[#All],[Reporting Year]],2021,TME[[#All],[Insurance Category Code]],3,TME[[#All],[Large Provider Entity Code]],AR32)/AZ32,"NA")</f>
        <v>NA</v>
      </c>
      <c r="BF32" s="154" t="str">
        <f t="shared" si="66"/>
        <v>NA</v>
      </c>
      <c r="BG32" s="154" t="str">
        <f t="shared" si="67"/>
        <v>NA</v>
      </c>
      <c r="BH32" s="154" t="str">
        <f t="shared" si="68"/>
        <v>NA</v>
      </c>
      <c r="BI32" s="154" t="str">
        <f t="shared" si="69"/>
        <v>NA</v>
      </c>
      <c r="BJ32" s="154" t="str">
        <f t="shared" si="70"/>
        <v>NA</v>
      </c>
      <c r="BK32" s="154" t="str">
        <f t="shared" si="71"/>
        <v>NA</v>
      </c>
    </row>
    <row r="33" spans="2:63" x14ac:dyDescent="0.35">
      <c r="B33" s="123">
        <v>107</v>
      </c>
      <c r="C33" s="103" t="s">
        <v>251</v>
      </c>
      <c r="D33" s="141">
        <f>SUMIFS(TME[[#All],[Member Months]],TME[[#All],[Reporting Year]],2018,TME[[#All],[Insurance Category Code]],3,TME[[#All],[Large Provider Entity Code]],B33)</f>
        <v>0</v>
      </c>
      <c r="E33" s="152" t="str">
        <f>IFERROR(SUMIFS(TME[[#All],[Total Non-Truncated Claims Spending]],TME[[#All],[Reporting Year]],2018,TME[[#All],[Insurance Category Code]],3,TME[[#All],[Large Provider Entity Code]],B33)/D33,"NA")</f>
        <v>NA</v>
      </c>
      <c r="F33" s="152" t="str">
        <f>IFERROR(SUMIFS(TME[[#All],[Total Truncated Claims Spending]],TME[[#All],[Reporting Year]],2018,TME[[#All],[Insurance Category Code]],3,TME[[#All],[Large Provider Entity Code]],B33)/D33,"NA")</f>
        <v>NA</v>
      </c>
      <c r="G33" s="152" t="str">
        <f>IFERROR(SUMIFS(TME[[#All],[Total Non-Claims Spending]],TME[[#All],[Reporting Year]],2018,TME[[#All],[Insurance Category Code]],3,TME[[#All],[Large Provider Entity Code]],B33)/D33,"NA")</f>
        <v>NA</v>
      </c>
      <c r="H33" s="152" t="str">
        <f>IFERROR(SUMIFS(TME[[#All],[Total Non-Truncated Claims and Non-Claims Spending]],TME[[#All],[Reporting Year]],2018,TME[[#All],[Insurance Category Code]],3,TME[[#All],[Large Provider Entity Code]],B33)/D33,"NA")</f>
        <v>NA</v>
      </c>
      <c r="I33" s="152" t="str">
        <f>IFERROR(SUMIFS(TME[[#All],[Truncated Total Expenses (Total Truncated Claims Expenses + Non-Claims Expenses)]],TME[[#All],[Reporting Year]],2018,TME[[#All],[Insurance Category Code]],3,TME[[#All],[Large Provider Entity Code]],B33)/D33,"NA")</f>
        <v>NA</v>
      </c>
      <c r="J33" s="141">
        <f>SUMIFS(TME[[#All],[Member Months]],TME[[#All],[Reporting Year]],2019,TME[[#All],[Insurance Category Code]],3,TME[[#All],[Large Provider Entity Code]],B33)</f>
        <v>0</v>
      </c>
      <c r="K33" s="152" t="str">
        <f>IFERROR(SUMIFS(TME[[#All],[Total Non-Truncated Claims Spending]],TME[[#All],[Reporting Year]],2019,TME[[#All],[Insurance Category Code]],3,TME[[#All],[Large Provider Entity Code]],B33)/J33,"NA")</f>
        <v>NA</v>
      </c>
      <c r="L33" s="152" t="str">
        <f>IFERROR(SUMIFS(TME[[#All],[Total Truncated Claims Spending]],TME[[#All],[Reporting Year]],2019,TME[[#All],[Insurance Category Code]],3,TME[[#All],[Large Provider Entity Code]],B33)/J33,"NA")</f>
        <v>NA</v>
      </c>
      <c r="M33" s="152" t="str">
        <f>IFERROR(SUMIFS(TME[[#All],[Total Non-Claims Spending]],TME[[#All],[Reporting Year]],2019,TME[[#All],[Insurance Category Code]],3,TME[[#All],[Large Provider Entity Code]],B33)/J33,"NA")</f>
        <v>NA</v>
      </c>
      <c r="N33" s="152" t="str">
        <f>IFERROR(SUMIFS(TME[[#All],[Total Non-Truncated Claims and Non-Claims Spending]],TME[[#All],[Reporting Year]],2019,TME[[#All],[Insurance Category Code]],3,TME[[#All],[Large Provider Entity Code]],B33)/J33,"NA")</f>
        <v>NA</v>
      </c>
      <c r="O33" s="152" t="str">
        <f>IFERROR(SUMIFS(TME[[#All],[Truncated Total Expenses (Total Truncated Claims Expenses + Non-Claims Expenses)]],TME[[#All],[Reporting Year]],2019,TME[[#All],[Insurance Category Code]],3,TME[[#All],[Large Provider Entity Code]],B33)/J33,"NA")</f>
        <v>NA</v>
      </c>
      <c r="P33" s="154" t="str">
        <f t="shared" si="54"/>
        <v>NA</v>
      </c>
      <c r="Q33" s="154" t="str">
        <f t="shared" si="55"/>
        <v>NA</v>
      </c>
      <c r="R33" s="154" t="str">
        <f t="shared" si="56"/>
        <v>NA</v>
      </c>
      <c r="S33" s="154" t="str">
        <f t="shared" si="57"/>
        <v>NA</v>
      </c>
      <c r="T33" s="154" t="str">
        <f t="shared" si="58"/>
        <v>NA</v>
      </c>
      <c r="U33" s="154" t="str">
        <f t="shared" si="59"/>
        <v>NA</v>
      </c>
      <c r="W33" s="123">
        <v>107</v>
      </c>
      <c r="X33" s="103" t="s">
        <v>251</v>
      </c>
      <c r="Y33" s="141">
        <f>SUMIFS(TME[[#All],[Member Months]],TME[[#All],[Reporting Year]],2019,TME[[#All],[Insurance Category Code]],3,TME[[#All],[Large Provider Entity Code]],W33)</f>
        <v>0</v>
      </c>
      <c r="Z33" s="152" t="str">
        <f>IFERROR(SUMIFS(TME[[#All],[Total Non-Truncated Claims Spending]],TME[[#All],[Reporting Year]],2019,TME[[#All],[Insurance Category Code]],3,TME[[#All],[Large Provider Entity Code]],W33)/Y33,"NA")</f>
        <v>NA</v>
      </c>
      <c r="AA33" s="152" t="str">
        <f>IFERROR(SUMIFS(TME[[#All],[Total Truncated Claims Spending]],TME[[#All],[Reporting Year]],2019,TME[[#All],[Insurance Category Code]],3,TME[[#All],[Large Provider Entity Code]],W33)/Y33,"NA")</f>
        <v>NA</v>
      </c>
      <c r="AB33" s="152" t="str">
        <f>IFERROR(SUMIFS(TME[[#All],[Total Non-Claims Spending]],TME[[#All],[Reporting Year]],2019,TME[[#All],[Insurance Category Code]],3,TME[[#All],[Large Provider Entity Code]],W33)/Y33,"NA")</f>
        <v>NA</v>
      </c>
      <c r="AC33" s="152" t="str">
        <f>IFERROR(SUMIFS(TME[[#All],[Total Non-Truncated Claims and Non-Claims Spending]],TME[[#All],[Reporting Year]],2019,TME[[#All],[Insurance Category Code]],3,TME[[#All],[Large Provider Entity Code]],W33)/Y33,"NA")</f>
        <v>NA</v>
      </c>
      <c r="AD33" s="152" t="str">
        <f>IFERROR(SUMIFS(TME[[#All],[Truncated Total Expenses (Total Truncated Claims Expenses + Non-Claims Expenses)]],TME[[#All],[Reporting Year]],2019,TME[[#All],[Insurance Category Code]],3,TME[[#All],[Large Provider Entity Code]],W33)/Y33,"NA")</f>
        <v>NA</v>
      </c>
      <c r="AE33" s="141">
        <f>SUMIFS(TME[[#All],[Member Months]],TME[[#All],[Reporting Year]],2020,TME[[#All],[Insurance Category Code]],3,TME[[#All],[Large Provider Entity Code]],W33)</f>
        <v>0</v>
      </c>
      <c r="AF33" s="152" t="str">
        <f>IFERROR(SUMIFS(TME[[#All],[Total Non-Truncated Claims Spending]],TME[[#All],[Reporting Year]],2020,TME[[#All],[Insurance Category Code]],3,TME[[#All],[Large Provider Entity Code]],W33)/AE33,"NA")</f>
        <v>NA</v>
      </c>
      <c r="AG33" s="152" t="str">
        <f>IFERROR(SUMIFS(TME[[#All],[Total Truncated Claims Spending]],TME[[#All],[Reporting Year]],2020,TME[[#All],[Insurance Category Code]],3,TME[[#All],[Large Provider Entity Code]],W33)/AE33,"NA")</f>
        <v>NA</v>
      </c>
      <c r="AH33" s="152" t="str">
        <f>IFERROR(SUMIFS(TME[[#All],[Total Non-Claims Spending]],TME[[#All],[Reporting Year]],2020,TME[[#All],[Insurance Category Code]],3,TME[[#All],[Large Provider Entity Code]],W33)/AE33,"NA")</f>
        <v>NA</v>
      </c>
      <c r="AI33" s="152" t="str">
        <f>IFERROR(SUMIFS(TME[[#All],[Total Non-Truncated Claims and Non-Claims Spending]],TME[[#All],[Reporting Year]],2020,TME[[#All],[Insurance Category Code]],3,TME[[#All],[Large Provider Entity Code]],W33)/AE33,"NA")</f>
        <v>NA</v>
      </c>
      <c r="AJ33" s="152" t="str">
        <f>IFERROR(SUMIFS(TME[[#All],[Truncated Total Expenses (Total Truncated Claims Expenses + Non-Claims Expenses)]],TME[[#All],[Reporting Year]],2020,TME[[#All],[Insurance Category Code]],3,TME[[#All],[Large Provider Entity Code]],W33)/AE33,"NA")</f>
        <v>NA</v>
      </c>
      <c r="AK33" s="154" t="str">
        <f t="shared" si="60"/>
        <v>NA</v>
      </c>
      <c r="AL33" s="154" t="str">
        <f t="shared" si="61"/>
        <v>NA</v>
      </c>
      <c r="AM33" s="154" t="str">
        <f t="shared" si="62"/>
        <v>NA</v>
      </c>
      <c r="AN33" s="154" t="str">
        <f t="shared" si="63"/>
        <v>NA</v>
      </c>
      <c r="AO33" s="154" t="str">
        <f t="shared" si="64"/>
        <v>NA</v>
      </c>
      <c r="AP33" s="154" t="str">
        <f t="shared" si="65"/>
        <v>NA</v>
      </c>
      <c r="AR33" s="123">
        <v>107</v>
      </c>
      <c r="AS33" s="103" t="s">
        <v>251</v>
      </c>
      <c r="AT33" s="141">
        <f>SUMIFS(TME[[#All],[Member Months]],TME[[#All],[Reporting Year]],2020,TME[[#All],[Insurance Category Code]],3,TME[[#All],[Large Provider Entity Code]],AR33)</f>
        <v>0</v>
      </c>
      <c r="AU33" s="152" t="str">
        <f>IFERROR(SUMIFS(TME[[#All],[Total Non-Truncated Claims Spending]],TME[[#All],[Reporting Year]],2020,TME[[#All],[Insurance Category Code]],3,TME[[#All],[Large Provider Entity Code]],AR33)/AT33,"NA")</f>
        <v>NA</v>
      </c>
      <c r="AV33" s="152" t="str">
        <f>IFERROR(SUMIFS(TME[[#All],[Total Truncated Claims Spending]],TME[[#All],[Reporting Year]],2020,TME[[#All],[Insurance Category Code]],3,TME[[#All],[Large Provider Entity Code]],AR33)/AT33,"NA")</f>
        <v>NA</v>
      </c>
      <c r="AW33" s="152" t="str">
        <f>IFERROR(SUMIFS(TME[[#All],[Total Non-Claims Spending]],TME[[#All],[Reporting Year]],2020,TME[[#All],[Insurance Category Code]],3,TME[[#All],[Large Provider Entity Code]],AR33)/AT33,"NA")</f>
        <v>NA</v>
      </c>
      <c r="AX33" s="152" t="str">
        <f>IFERROR(SUMIFS(TME[[#All],[Total Non-Truncated Claims and Non-Claims Spending]],TME[[#All],[Reporting Year]],2020,TME[[#All],[Insurance Category Code]],3,TME[[#All],[Large Provider Entity Code]],AR33)/AT33,"NA")</f>
        <v>NA</v>
      </c>
      <c r="AY33" s="152" t="str">
        <f>IFERROR(SUMIFS(TME[[#All],[Truncated Total Expenses (Total Truncated Claims Expenses + Non-Claims Expenses)]],TME[[#All],[Reporting Year]],2020,TME[[#All],[Insurance Category Code]],3,TME[[#All],[Large Provider Entity Code]],AR33)/AT33,"NA")</f>
        <v>NA</v>
      </c>
      <c r="AZ33" s="141">
        <f>SUMIFS(TME[[#All],[Member Months]],TME[[#All],[Reporting Year]],2021,TME[[#All],[Insurance Category Code]],3,TME[[#All],[Large Provider Entity Code]],AR33)</f>
        <v>0</v>
      </c>
      <c r="BA33" s="152" t="str">
        <f>IFERROR(SUMIFS(TME[[#All],[Total Non-Truncated Claims Spending]],TME[[#All],[Reporting Year]],2021,TME[[#All],[Insurance Category Code]],3,TME[[#All],[Large Provider Entity Code]],AR33)/AZ33,"NA")</f>
        <v>NA</v>
      </c>
      <c r="BB33" s="152" t="str">
        <f>IFERROR(SUMIFS(TME[[#All],[Total Truncated Claims Spending]],TME[[#All],[Reporting Year]],2021,TME[[#All],[Insurance Category Code]],3,TME[[#All],[Large Provider Entity Code]],AR33)/AZ33,"NA")</f>
        <v>NA</v>
      </c>
      <c r="BC33" s="152" t="str">
        <f>IFERROR(SUMIFS(TME[[#All],[Total Non-Claims Spending]],TME[[#All],[Reporting Year]],2021,TME[[#All],[Insurance Category Code]],3,TME[[#All],[Large Provider Entity Code]],AR33)/AZ33,"NA")</f>
        <v>NA</v>
      </c>
      <c r="BD33" s="152" t="str">
        <f>IFERROR(SUMIFS(TME[[#All],[Total Non-Truncated Claims and Non-Claims Spending]],TME[[#All],[Reporting Year]],2021,TME[[#All],[Insurance Category Code]],3,TME[[#All],[Large Provider Entity Code]],AR33)/AZ33,"NA")</f>
        <v>NA</v>
      </c>
      <c r="BE33" s="152" t="str">
        <f>IFERROR(SUMIFS(TME[[#All],[Truncated Total Expenses (Total Truncated Claims Expenses + Non-Claims Expenses)]],TME[[#All],[Reporting Year]],2021,TME[[#All],[Insurance Category Code]],3,TME[[#All],[Large Provider Entity Code]],AR33)/AZ33,"NA")</f>
        <v>NA</v>
      </c>
      <c r="BF33" s="154" t="str">
        <f t="shared" si="66"/>
        <v>NA</v>
      </c>
      <c r="BG33" s="154" t="str">
        <f t="shared" si="67"/>
        <v>NA</v>
      </c>
      <c r="BH33" s="154" t="str">
        <f t="shared" si="68"/>
        <v>NA</v>
      </c>
      <c r="BI33" s="154" t="str">
        <f t="shared" si="69"/>
        <v>NA</v>
      </c>
      <c r="BJ33" s="154" t="str">
        <f t="shared" si="70"/>
        <v>NA</v>
      </c>
      <c r="BK33" s="154" t="str">
        <f t="shared" si="71"/>
        <v>NA</v>
      </c>
    </row>
    <row r="34" spans="2:63" x14ac:dyDescent="0.35">
      <c r="B34" s="123">
        <v>108</v>
      </c>
      <c r="C34" s="103" t="s">
        <v>252</v>
      </c>
      <c r="D34" s="141">
        <f>SUMIFS(TME[[#All],[Member Months]],TME[[#All],[Reporting Year]],2018,TME[[#All],[Insurance Category Code]],3,TME[[#All],[Large Provider Entity Code]],B34)</f>
        <v>0</v>
      </c>
      <c r="E34" s="152" t="str">
        <f>IFERROR(SUMIFS(TME[[#All],[Total Non-Truncated Claims Spending]],TME[[#All],[Reporting Year]],2018,TME[[#All],[Insurance Category Code]],3,TME[[#All],[Large Provider Entity Code]],B34)/D34,"NA")</f>
        <v>NA</v>
      </c>
      <c r="F34" s="152" t="str">
        <f>IFERROR(SUMIFS(TME[[#All],[Total Truncated Claims Spending]],TME[[#All],[Reporting Year]],2018,TME[[#All],[Insurance Category Code]],3,TME[[#All],[Large Provider Entity Code]],B34)/D34,"NA")</f>
        <v>NA</v>
      </c>
      <c r="G34" s="152" t="str">
        <f>IFERROR(SUMIFS(TME[[#All],[Total Non-Claims Spending]],TME[[#All],[Reporting Year]],2018,TME[[#All],[Insurance Category Code]],3,TME[[#All],[Large Provider Entity Code]],B34)/D34,"NA")</f>
        <v>NA</v>
      </c>
      <c r="H34" s="152" t="str">
        <f>IFERROR(SUMIFS(TME[[#All],[Total Non-Truncated Claims and Non-Claims Spending]],TME[[#All],[Reporting Year]],2018,TME[[#All],[Insurance Category Code]],3,TME[[#All],[Large Provider Entity Code]],B34)/D34,"NA")</f>
        <v>NA</v>
      </c>
      <c r="I34" s="152" t="str">
        <f>IFERROR(SUMIFS(TME[[#All],[Truncated Total Expenses (Total Truncated Claims Expenses + Non-Claims Expenses)]],TME[[#All],[Reporting Year]],2018,TME[[#All],[Insurance Category Code]],3,TME[[#All],[Large Provider Entity Code]],B34)/D34,"NA")</f>
        <v>NA</v>
      </c>
      <c r="J34" s="141">
        <f>SUMIFS(TME[[#All],[Member Months]],TME[[#All],[Reporting Year]],2019,TME[[#All],[Insurance Category Code]],3,TME[[#All],[Large Provider Entity Code]],B34)</f>
        <v>0</v>
      </c>
      <c r="K34" s="152" t="str">
        <f>IFERROR(SUMIFS(TME[[#All],[Total Non-Truncated Claims Spending]],TME[[#All],[Reporting Year]],2019,TME[[#All],[Insurance Category Code]],3,TME[[#All],[Large Provider Entity Code]],B34)/J34,"NA")</f>
        <v>NA</v>
      </c>
      <c r="L34" s="152" t="str">
        <f>IFERROR(SUMIFS(TME[[#All],[Total Truncated Claims Spending]],TME[[#All],[Reporting Year]],2019,TME[[#All],[Insurance Category Code]],3,TME[[#All],[Large Provider Entity Code]],B34)/J34,"NA")</f>
        <v>NA</v>
      </c>
      <c r="M34" s="152" t="str">
        <f>IFERROR(SUMIFS(TME[[#All],[Total Non-Claims Spending]],TME[[#All],[Reporting Year]],2019,TME[[#All],[Insurance Category Code]],3,TME[[#All],[Large Provider Entity Code]],B34)/J34,"NA")</f>
        <v>NA</v>
      </c>
      <c r="N34" s="152" t="str">
        <f>IFERROR(SUMIFS(TME[[#All],[Total Non-Truncated Claims and Non-Claims Spending]],TME[[#All],[Reporting Year]],2019,TME[[#All],[Insurance Category Code]],3,TME[[#All],[Large Provider Entity Code]],B34)/J34,"NA")</f>
        <v>NA</v>
      </c>
      <c r="O34" s="152" t="str">
        <f>IFERROR(SUMIFS(TME[[#All],[Truncated Total Expenses (Total Truncated Claims Expenses + Non-Claims Expenses)]],TME[[#All],[Reporting Year]],2019,TME[[#All],[Insurance Category Code]],3,TME[[#All],[Large Provider Entity Code]],B34)/J34,"NA")</f>
        <v>NA</v>
      </c>
      <c r="P34" s="154" t="str">
        <f t="shared" si="54"/>
        <v>NA</v>
      </c>
      <c r="Q34" s="154" t="str">
        <f t="shared" si="55"/>
        <v>NA</v>
      </c>
      <c r="R34" s="154" t="str">
        <f t="shared" si="56"/>
        <v>NA</v>
      </c>
      <c r="S34" s="154" t="str">
        <f t="shared" si="57"/>
        <v>NA</v>
      </c>
      <c r="T34" s="154" t="str">
        <f t="shared" si="58"/>
        <v>NA</v>
      </c>
      <c r="U34" s="154" t="str">
        <f t="shared" si="59"/>
        <v>NA</v>
      </c>
      <c r="W34" s="123">
        <v>108</v>
      </c>
      <c r="X34" s="103" t="s">
        <v>252</v>
      </c>
      <c r="Y34" s="141">
        <f>SUMIFS(TME[[#All],[Member Months]],TME[[#All],[Reporting Year]],2019,TME[[#All],[Insurance Category Code]],3,TME[[#All],[Large Provider Entity Code]],W34)</f>
        <v>0</v>
      </c>
      <c r="Z34" s="152" t="str">
        <f>IFERROR(SUMIFS(TME[[#All],[Total Non-Truncated Claims Spending]],TME[[#All],[Reporting Year]],2019,TME[[#All],[Insurance Category Code]],3,TME[[#All],[Large Provider Entity Code]],W34)/Y34,"NA")</f>
        <v>NA</v>
      </c>
      <c r="AA34" s="152" t="str">
        <f>IFERROR(SUMIFS(TME[[#All],[Total Truncated Claims Spending]],TME[[#All],[Reporting Year]],2019,TME[[#All],[Insurance Category Code]],3,TME[[#All],[Large Provider Entity Code]],W34)/Y34,"NA")</f>
        <v>NA</v>
      </c>
      <c r="AB34" s="152" t="str">
        <f>IFERROR(SUMIFS(TME[[#All],[Total Non-Claims Spending]],TME[[#All],[Reporting Year]],2019,TME[[#All],[Insurance Category Code]],3,TME[[#All],[Large Provider Entity Code]],W34)/Y34,"NA")</f>
        <v>NA</v>
      </c>
      <c r="AC34" s="152" t="str">
        <f>IFERROR(SUMIFS(TME[[#All],[Total Non-Truncated Claims and Non-Claims Spending]],TME[[#All],[Reporting Year]],2019,TME[[#All],[Insurance Category Code]],3,TME[[#All],[Large Provider Entity Code]],W34)/Y34,"NA")</f>
        <v>NA</v>
      </c>
      <c r="AD34" s="152" t="str">
        <f>IFERROR(SUMIFS(TME[[#All],[Truncated Total Expenses (Total Truncated Claims Expenses + Non-Claims Expenses)]],TME[[#All],[Reporting Year]],2019,TME[[#All],[Insurance Category Code]],3,TME[[#All],[Large Provider Entity Code]],W34)/Y34,"NA")</f>
        <v>NA</v>
      </c>
      <c r="AE34" s="141">
        <f>SUMIFS(TME[[#All],[Member Months]],TME[[#All],[Reporting Year]],2020,TME[[#All],[Insurance Category Code]],3,TME[[#All],[Large Provider Entity Code]],W34)</f>
        <v>0</v>
      </c>
      <c r="AF34" s="152" t="str">
        <f>IFERROR(SUMIFS(TME[[#All],[Total Non-Truncated Claims Spending]],TME[[#All],[Reporting Year]],2020,TME[[#All],[Insurance Category Code]],3,TME[[#All],[Large Provider Entity Code]],W34)/AE34,"NA")</f>
        <v>NA</v>
      </c>
      <c r="AG34" s="152" t="str">
        <f>IFERROR(SUMIFS(TME[[#All],[Total Truncated Claims Spending]],TME[[#All],[Reporting Year]],2020,TME[[#All],[Insurance Category Code]],3,TME[[#All],[Large Provider Entity Code]],W34)/AE34,"NA")</f>
        <v>NA</v>
      </c>
      <c r="AH34" s="152" t="str">
        <f>IFERROR(SUMIFS(TME[[#All],[Total Non-Claims Spending]],TME[[#All],[Reporting Year]],2020,TME[[#All],[Insurance Category Code]],3,TME[[#All],[Large Provider Entity Code]],W34)/AE34,"NA")</f>
        <v>NA</v>
      </c>
      <c r="AI34" s="152" t="str">
        <f>IFERROR(SUMIFS(TME[[#All],[Total Non-Truncated Claims and Non-Claims Spending]],TME[[#All],[Reporting Year]],2020,TME[[#All],[Insurance Category Code]],3,TME[[#All],[Large Provider Entity Code]],W34)/AE34,"NA")</f>
        <v>NA</v>
      </c>
      <c r="AJ34" s="152" t="str">
        <f>IFERROR(SUMIFS(TME[[#All],[Truncated Total Expenses (Total Truncated Claims Expenses + Non-Claims Expenses)]],TME[[#All],[Reporting Year]],2020,TME[[#All],[Insurance Category Code]],3,TME[[#All],[Large Provider Entity Code]],W34)/AE34,"NA")</f>
        <v>NA</v>
      </c>
      <c r="AK34" s="154" t="str">
        <f t="shared" si="60"/>
        <v>NA</v>
      </c>
      <c r="AL34" s="154" t="str">
        <f t="shared" si="61"/>
        <v>NA</v>
      </c>
      <c r="AM34" s="154" t="str">
        <f t="shared" si="62"/>
        <v>NA</v>
      </c>
      <c r="AN34" s="154" t="str">
        <f t="shared" si="63"/>
        <v>NA</v>
      </c>
      <c r="AO34" s="154" t="str">
        <f t="shared" si="64"/>
        <v>NA</v>
      </c>
      <c r="AP34" s="154" t="str">
        <f t="shared" si="65"/>
        <v>NA</v>
      </c>
      <c r="AR34" s="123">
        <v>108</v>
      </c>
      <c r="AS34" s="103" t="s">
        <v>252</v>
      </c>
      <c r="AT34" s="141">
        <f>SUMIFS(TME[[#All],[Member Months]],TME[[#All],[Reporting Year]],2020,TME[[#All],[Insurance Category Code]],3,TME[[#All],[Large Provider Entity Code]],AR34)</f>
        <v>0</v>
      </c>
      <c r="AU34" s="152" t="str">
        <f>IFERROR(SUMIFS(TME[[#All],[Total Non-Truncated Claims Spending]],TME[[#All],[Reporting Year]],2020,TME[[#All],[Insurance Category Code]],3,TME[[#All],[Large Provider Entity Code]],AR34)/AT34,"NA")</f>
        <v>NA</v>
      </c>
      <c r="AV34" s="152" t="str">
        <f>IFERROR(SUMIFS(TME[[#All],[Total Truncated Claims Spending]],TME[[#All],[Reporting Year]],2020,TME[[#All],[Insurance Category Code]],3,TME[[#All],[Large Provider Entity Code]],AR34)/AT34,"NA")</f>
        <v>NA</v>
      </c>
      <c r="AW34" s="152" t="str">
        <f>IFERROR(SUMIFS(TME[[#All],[Total Non-Claims Spending]],TME[[#All],[Reporting Year]],2020,TME[[#All],[Insurance Category Code]],3,TME[[#All],[Large Provider Entity Code]],AR34)/AT34,"NA")</f>
        <v>NA</v>
      </c>
      <c r="AX34" s="152" t="str">
        <f>IFERROR(SUMIFS(TME[[#All],[Total Non-Truncated Claims and Non-Claims Spending]],TME[[#All],[Reporting Year]],2020,TME[[#All],[Insurance Category Code]],3,TME[[#All],[Large Provider Entity Code]],AR34)/AT34,"NA")</f>
        <v>NA</v>
      </c>
      <c r="AY34" s="152" t="str">
        <f>IFERROR(SUMIFS(TME[[#All],[Truncated Total Expenses (Total Truncated Claims Expenses + Non-Claims Expenses)]],TME[[#All],[Reporting Year]],2020,TME[[#All],[Insurance Category Code]],3,TME[[#All],[Large Provider Entity Code]],AR34)/AT34,"NA")</f>
        <v>NA</v>
      </c>
      <c r="AZ34" s="141">
        <f>SUMIFS(TME[[#All],[Member Months]],TME[[#All],[Reporting Year]],2021,TME[[#All],[Insurance Category Code]],3,TME[[#All],[Large Provider Entity Code]],AR34)</f>
        <v>0</v>
      </c>
      <c r="BA34" s="152" t="str">
        <f>IFERROR(SUMIFS(TME[[#All],[Total Non-Truncated Claims Spending]],TME[[#All],[Reporting Year]],2021,TME[[#All],[Insurance Category Code]],3,TME[[#All],[Large Provider Entity Code]],AR34)/AZ34,"NA")</f>
        <v>NA</v>
      </c>
      <c r="BB34" s="152" t="str">
        <f>IFERROR(SUMIFS(TME[[#All],[Total Truncated Claims Spending]],TME[[#All],[Reporting Year]],2021,TME[[#All],[Insurance Category Code]],3,TME[[#All],[Large Provider Entity Code]],AR34)/AZ34,"NA")</f>
        <v>NA</v>
      </c>
      <c r="BC34" s="152" t="str">
        <f>IFERROR(SUMIFS(TME[[#All],[Total Non-Claims Spending]],TME[[#All],[Reporting Year]],2021,TME[[#All],[Insurance Category Code]],3,TME[[#All],[Large Provider Entity Code]],AR34)/AZ34,"NA")</f>
        <v>NA</v>
      </c>
      <c r="BD34" s="152" t="str">
        <f>IFERROR(SUMIFS(TME[[#All],[Total Non-Truncated Claims and Non-Claims Spending]],TME[[#All],[Reporting Year]],2021,TME[[#All],[Insurance Category Code]],3,TME[[#All],[Large Provider Entity Code]],AR34)/AZ34,"NA")</f>
        <v>NA</v>
      </c>
      <c r="BE34" s="152" t="str">
        <f>IFERROR(SUMIFS(TME[[#All],[Truncated Total Expenses (Total Truncated Claims Expenses + Non-Claims Expenses)]],TME[[#All],[Reporting Year]],2021,TME[[#All],[Insurance Category Code]],3,TME[[#All],[Large Provider Entity Code]],AR34)/AZ34,"NA")</f>
        <v>NA</v>
      </c>
      <c r="BF34" s="154" t="str">
        <f t="shared" si="66"/>
        <v>NA</v>
      </c>
      <c r="BG34" s="154" t="str">
        <f t="shared" si="67"/>
        <v>NA</v>
      </c>
      <c r="BH34" s="154" t="str">
        <f t="shared" si="68"/>
        <v>NA</v>
      </c>
      <c r="BI34" s="154" t="str">
        <f t="shared" si="69"/>
        <v>NA</v>
      </c>
      <c r="BJ34" s="154" t="str">
        <f t="shared" si="70"/>
        <v>NA</v>
      </c>
      <c r="BK34" s="154" t="str">
        <f t="shared" si="71"/>
        <v>NA</v>
      </c>
    </row>
    <row r="35" spans="2:63" x14ac:dyDescent="0.35">
      <c r="B35" s="123">
        <v>109</v>
      </c>
      <c r="C35" s="103" t="s">
        <v>253</v>
      </c>
      <c r="D35" s="141">
        <f>SUMIFS(TME[[#All],[Member Months]],TME[[#All],[Reporting Year]],2018,TME[[#All],[Insurance Category Code]],3,TME[[#All],[Large Provider Entity Code]],B35)</f>
        <v>0</v>
      </c>
      <c r="E35" s="152" t="str">
        <f>IFERROR(SUMIFS(TME[[#All],[Total Non-Truncated Claims Spending]],TME[[#All],[Reporting Year]],2018,TME[[#All],[Insurance Category Code]],3,TME[[#All],[Large Provider Entity Code]],B35)/D35,"NA")</f>
        <v>NA</v>
      </c>
      <c r="F35" s="152" t="str">
        <f>IFERROR(SUMIFS(TME[[#All],[Total Truncated Claims Spending]],TME[[#All],[Reporting Year]],2018,TME[[#All],[Insurance Category Code]],3,TME[[#All],[Large Provider Entity Code]],B35)/D35,"NA")</f>
        <v>NA</v>
      </c>
      <c r="G35" s="152" t="str">
        <f>IFERROR(SUMIFS(TME[[#All],[Total Non-Claims Spending]],TME[[#All],[Reporting Year]],2018,TME[[#All],[Insurance Category Code]],3,TME[[#All],[Large Provider Entity Code]],B35)/D35,"NA")</f>
        <v>NA</v>
      </c>
      <c r="H35" s="152" t="str">
        <f>IFERROR(SUMIFS(TME[[#All],[Total Non-Truncated Claims and Non-Claims Spending]],TME[[#All],[Reporting Year]],2018,TME[[#All],[Insurance Category Code]],3,TME[[#All],[Large Provider Entity Code]],B35)/D35,"NA")</f>
        <v>NA</v>
      </c>
      <c r="I35" s="152" t="str">
        <f>IFERROR(SUMIFS(TME[[#All],[Truncated Total Expenses (Total Truncated Claims Expenses + Non-Claims Expenses)]],TME[[#All],[Reporting Year]],2018,TME[[#All],[Insurance Category Code]],3,TME[[#All],[Large Provider Entity Code]],B35)/D35,"NA")</f>
        <v>NA</v>
      </c>
      <c r="J35" s="141">
        <f>SUMIFS(TME[[#All],[Member Months]],TME[[#All],[Reporting Year]],2019,TME[[#All],[Insurance Category Code]],3,TME[[#All],[Large Provider Entity Code]],B35)</f>
        <v>0</v>
      </c>
      <c r="K35" s="152" t="str">
        <f>IFERROR(SUMIFS(TME[[#All],[Total Non-Truncated Claims Spending]],TME[[#All],[Reporting Year]],2019,TME[[#All],[Insurance Category Code]],3,TME[[#All],[Large Provider Entity Code]],B35)/J35,"NA")</f>
        <v>NA</v>
      </c>
      <c r="L35" s="152" t="str">
        <f>IFERROR(SUMIFS(TME[[#All],[Total Truncated Claims Spending]],TME[[#All],[Reporting Year]],2019,TME[[#All],[Insurance Category Code]],3,TME[[#All],[Large Provider Entity Code]],B35)/J35,"NA")</f>
        <v>NA</v>
      </c>
      <c r="M35" s="152" t="str">
        <f>IFERROR(SUMIFS(TME[[#All],[Total Non-Claims Spending]],TME[[#All],[Reporting Year]],2019,TME[[#All],[Insurance Category Code]],3,TME[[#All],[Large Provider Entity Code]],B35)/J35,"NA")</f>
        <v>NA</v>
      </c>
      <c r="N35" s="152" t="str">
        <f>IFERROR(SUMIFS(TME[[#All],[Total Non-Truncated Claims and Non-Claims Spending]],TME[[#All],[Reporting Year]],2019,TME[[#All],[Insurance Category Code]],3,TME[[#All],[Large Provider Entity Code]],B35)/J35,"NA")</f>
        <v>NA</v>
      </c>
      <c r="O35" s="152" t="str">
        <f>IFERROR(SUMIFS(TME[[#All],[Truncated Total Expenses (Total Truncated Claims Expenses + Non-Claims Expenses)]],TME[[#All],[Reporting Year]],2019,TME[[#All],[Insurance Category Code]],3,TME[[#All],[Large Provider Entity Code]],B35)/J35,"NA")</f>
        <v>NA</v>
      </c>
      <c r="P35" s="154" t="str">
        <f t="shared" si="54"/>
        <v>NA</v>
      </c>
      <c r="Q35" s="154" t="str">
        <f t="shared" si="55"/>
        <v>NA</v>
      </c>
      <c r="R35" s="154" t="str">
        <f t="shared" si="56"/>
        <v>NA</v>
      </c>
      <c r="S35" s="154" t="str">
        <f t="shared" si="57"/>
        <v>NA</v>
      </c>
      <c r="T35" s="154" t="str">
        <f t="shared" si="58"/>
        <v>NA</v>
      </c>
      <c r="U35" s="154" t="str">
        <f t="shared" si="59"/>
        <v>NA</v>
      </c>
      <c r="W35" s="123">
        <v>109</v>
      </c>
      <c r="X35" s="103" t="s">
        <v>253</v>
      </c>
      <c r="Y35" s="141">
        <f>SUMIFS(TME[[#All],[Member Months]],TME[[#All],[Reporting Year]],2019,TME[[#All],[Insurance Category Code]],3,TME[[#All],[Large Provider Entity Code]],W35)</f>
        <v>0</v>
      </c>
      <c r="Z35" s="152" t="str">
        <f>IFERROR(SUMIFS(TME[[#All],[Total Non-Truncated Claims Spending]],TME[[#All],[Reporting Year]],2019,TME[[#All],[Insurance Category Code]],3,TME[[#All],[Large Provider Entity Code]],W35)/Y35,"NA")</f>
        <v>NA</v>
      </c>
      <c r="AA35" s="152" t="str">
        <f>IFERROR(SUMIFS(TME[[#All],[Total Truncated Claims Spending]],TME[[#All],[Reporting Year]],2019,TME[[#All],[Insurance Category Code]],3,TME[[#All],[Large Provider Entity Code]],W35)/Y35,"NA")</f>
        <v>NA</v>
      </c>
      <c r="AB35" s="152" t="str">
        <f>IFERROR(SUMIFS(TME[[#All],[Total Non-Claims Spending]],TME[[#All],[Reporting Year]],2019,TME[[#All],[Insurance Category Code]],3,TME[[#All],[Large Provider Entity Code]],W35)/Y35,"NA")</f>
        <v>NA</v>
      </c>
      <c r="AC35" s="152" t="str">
        <f>IFERROR(SUMIFS(TME[[#All],[Total Non-Truncated Claims and Non-Claims Spending]],TME[[#All],[Reporting Year]],2019,TME[[#All],[Insurance Category Code]],3,TME[[#All],[Large Provider Entity Code]],W35)/Y35,"NA")</f>
        <v>NA</v>
      </c>
      <c r="AD35" s="152" t="str">
        <f>IFERROR(SUMIFS(TME[[#All],[Truncated Total Expenses (Total Truncated Claims Expenses + Non-Claims Expenses)]],TME[[#All],[Reporting Year]],2019,TME[[#All],[Insurance Category Code]],3,TME[[#All],[Large Provider Entity Code]],W35)/Y35,"NA")</f>
        <v>NA</v>
      </c>
      <c r="AE35" s="141">
        <f>SUMIFS(TME[[#All],[Member Months]],TME[[#All],[Reporting Year]],2020,TME[[#All],[Insurance Category Code]],3,TME[[#All],[Large Provider Entity Code]],W35)</f>
        <v>0</v>
      </c>
      <c r="AF35" s="152" t="str">
        <f>IFERROR(SUMIFS(TME[[#All],[Total Non-Truncated Claims Spending]],TME[[#All],[Reporting Year]],2020,TME[[#All],[Insurance Category Code]],3,TME[[#All],[Large Provider Entity Code]],W35)/AE35,"NA")</f>
        <v>NA</v>
      </c>
      <c r="AG35" s="152" t="str">
        <f>IFERROR(SUMIFS(TME[[#All],[Total Truncated Claims Spending]],TME[[#All],[Reporting Year]],2020,TME[[#All],[Insurance Category Code]],3,TME[[#All],[Large Provider Entity Code]],W35)/AE35,"NA")</f>
        <v>NA</v>
      </c>
      <c r="AH35" s="152" t="str">
        <f>IFERROR(SUMIFS(TME[[#All],[Total Non-Claims Spending]],TME[[#All],[Reporting Year]],2020,TME[[#All],[Insurance Category Code]],3,TME[[#All],[Large Provider Entity Code]],W35)/AE35,"NA")</f>
        <v>NA</v>
      </c>
      <c r="AI35" s="152" t="str">
        <f>IFERROR(SUMIFS(TME[[#All],[Total Non-Truncated Claims and Non-Claims Spending]],TME[[#All],[Reporting Year]],2020,TME[[#All],[Insurance Category Code]],3,TME[[#All],[Large Provider Entity Code]],W35)/AE35,"NA")</f>
        <v>NA</v>
      </c>
      <c r="AJ35" s="152" t="str">
        <f>IFERROR(SUMIFS(TME[[#All],[Truncated Total Expenses (Total Truncated Claims Expenses + Non-Claims Expenses)]],TME[[#All],[Reporting Year]],2020,TME[[#All],[Insurance Category Code]],3,TME[[#All],[Large Provider Entity Code]],W35)/AE35,"NA")</f>
        <v>NA</v>
      </c>
      <c r="AK35" s="154" t="str">
        <f t="shared" si="60"/>
        <v>NA</v>
      </c>
      <c r="AL35" s="154" t="str">
        <f t="shared" si="61"/>
        <v>NA</v>
      </c>
      <c r="AM35" s="154" t="str">
        <f t="shared" si="62"/>
        <v>NA</v>
      </c>
      <c r="AN35" s="154" t="str">
        <f t="shared" si="63"/>
        <v>NA</v>
      </c>
      <c r="AO35" s="154" t="str">
        <f t="shared" si="64"/>
        <v>NA</v>
      </c>
      <c r="AP35" s="154" t="str">
        <f t="shared" si="65"/>
        <v>NA</v>
      </c>
      <c r="AR35" s="123">
        <v>109</v>
      </c>
      <c r="AS35" s="103" t="s">
        <v>253</v>
      </c>
      <c r="AT35" s="141">
        <f>SUMIFS(TME[[#All],[Member Months]],TME[[#All],[Reporting Year]],2020,TME[[#All],[Insurance Category Code]],3,TME[[#All],[Large Provider Entity Code]],AR35)</f>
        <v>0</v>
      </c>
      <c r="AU35" s="152" t="str">
        <f>IFERROR(SUMIFS(TME[[#All],[Total Non-Truncated Claims Spending]],TME[[#All],[Reporting Year]],2020,TME[[#All],[Insurance Category Code]],3,TME[[#All],[Large Provider Entity Code]],AR35)/AT35,"NA")</f>
        <v>NA</v>
      </c>
      <c r="AV35" s="152" t="str">
        <f>IFERROR(SUMIFS(TME[[#All],[Total Truncated Claims Spending]],TME[[#All],[Reporting Year]],2020,TME[[#All],[Insurance Category Code]],3,TME[[#All],[Large Provider Entity Code]],AR35)/AT35,"NA")</f>
        <v>NA</v>
      </c>
      <c r="AW35" s="152" t="str">
        <f>IFERROR(SUMIFS(TME[[#All],[Total Non-Claims Spending]],TME[[#All],[Reporting Year]],2020,TME[[#All],[Insurance Category Code]],3,TME[[#All],[Large Provider Entity Code]],AR35)/AT35,"NA")</f>
        <v>NA</v>
      </c>
      <c r="AX35" s="152" t="str">
        <f>IFERROR(SUMIFS(TME[[#All],[Total Non-Truncated Claims and Non-Claims Spending]],TME[[#All],[Reporting Year]],2020,TME[[#All],[Insurance Category Code]],3,TME[[#All],[Large Provider Entity Code]],AR35)/AT35,"NA")</f>
        <v>NA</v>
      </c>
      <c r="AY35" s="152" t="str">
        <f>IFERROR(SUMIFS(TME[[#All],[Truncated Total Expenses (Total Truncated Claims Expenses + Non-Claims Expenses)]],TME[[#All],[Reporting Year]],2020,TME[[#All],[Insurance Category Code]],3,TME[[#All],[Large Provider Entity Code]],AR35)/AT35,"NA")</f>
        <v>NA</v>
      </c>
      <c r="AZ35" s="141">
        <f>SUMIFS(TME[[#All],[Member Months]],TME[[#All],[Reporting Year]],2021,TME[[#All],[Insurance Category Code]],3,TME[[#All],[Large Provider Entity Code]],AR35)</f>
        <v>0</v>
      </c>
      <c r="BA35" s="152" t="str">
        <f>IFERROR(SUMIFS(TME[[#All],[Total Non-Truncated Claims Spending]],TME[[#All],[Reporting Year]],2021,TME[[#All],[Insurance Category Code]],3,TME[[#All],[Large Provider Entity Code]],AR35)/AZ35,"NA")</f>
        <v>NA</v>
      </c>
      <c r="BB35" s="152" t="str">
        <f>IFERROR(SUMIFS(TME[[#All],[Total Truncated Claims Spending]],TME[[#All],[Reporting Year]],2021,TME[[#All],[Insurance Category Code]],3,TME[[#All],[Large Provider Entity Code]],AR35)/AZ35,"NA")</f>
        <v>NA</v>
      </c>
      <c r="BC35" s="152" t="str">
        <f>IFERROR(SUMIFS(TME[[#All],[Total Non-Claims Spending]],TME[[#All],[Reporting Year]],2021,TME[[#All],[Insurance Category Code]],3,TME[[#All],[Large Provider Entity Code]],AR35)/AZ35,"NA")</f>
        <v>NA</v>
      </c>
      <c r="BD35" s="152" t="str">
        <f>IFERROR(SUMIFS(TME[[#All],[Total Non-Truncated Claims and Non-Claims Spending]],TME[[#All],[Reporting Year]],2021,TME[[#All],[Insurance Category Code]],3,TME[[#All],[Large Provider Entity Code]],AR35)/AZ35,"NA")</f>
        <v>NA</v>
      </c>
      <c r="BE35" s="152" t="str">
        <f>IFERROR(SUMIFS(TME[[#All],[Truncated Total Expenses (Total Truncated Claims Expenses + Non-Claims Expenses)]],TME[[#All],[Reporting Year]],2021,TME[[#All],[Insurance Category Code]],3,TME[[#All],[Large Provider Entity Code]],AR35)/AZ35,"NA")</f>
        <v>NA</v>
      </c>
      <c r="BF35" s="154" t="str">
        <f t="shared" si="66"/>
        <v>NA</v>
      </c>
      <c r="BG35" s="154" t="str">
        <f t="shared" si="67"/>
        <v>NA</v>
      </c>
      <c r="BH35" s="154" t="str">
        <f t="shared" si="68"/>
        <v>NA</v>
      </c>
      <c r="BI35" s="154" t="str">
        <f t="shared" si="69"/>
        <v>NA</v>
      </c>
      <c r="BJ35" s="154" t="str">
        <f t="shared" si="70"/>
        <v>NA</v>
      </c>
      <c r="BK35" s="154" t="str">
        <f t="shared" si="71"/>
        <v>NA</v>
      </c>
    </row>
    <row r="36" spans="2:63" x14ac:dyDescent="0.35">
      <c r="B36" s="123">
        <v>110</v>
      </c>
      <c r="C36" s="103" t="s">
        <v>294</v>
      </c>
      <c r="D36" s="141">
        <f>SUMIFS(TME[[#All],[Member Months]],TME[[#All],[Reporting Year]],2018,TME[[#All],[Insurance Category Code]],3,TME[[#All],[Large Provider Entity Code]],B36)</f>
        <v>0</v>
      </c>
      <c r="E36" s="152" t="str">
        <f>IFERROR(SUMIFS(TME[[#All],[Total Non-Truncated Claims Spending]],TME[[#All],[Reporting Year]],2018,TME[[#All],[Insurance Category Code]],3,TME[[#All],[Large Provider Entity Code]],B36)/D36,"NA")</f>
        <v>NA</v>
      </c>
      <c r="F36" s="152" t="str">
        <f>IFERROR(SUMIFS(TME[[#All],[Total Truncated Claims Spending]],TME[[#All],[Reporting Year]],2018,TME[[#All],[Insurance Category Code]],3,TME[[#All],[Large Provider Entity Code]],B36)/D36,"NA")</f>
        <v>NA</v>
      </c>
      <c r="G36" s="152" t="str">
        <f>IFERROR(SUMIFS(TME[[#All],[Total Non-Claims Spending]],TME[[#All],[Reporting Year]],2018,TME[[#All],[Insurance Category Code]],3,TME[[#All],[Large Provider Entity Code]],B36)/D36,"NA")</f>
        <v>NA</v>
      </c>
      <c r="H36" s="152" t="str">
        <f>IFERROR(SUMIFS(TME[[#All],[Total Non-Truncated Claims and Non-Claims Spending]],TME[[#All],[Reporting Year]],2018,TME[[#All],[Insurance Category Code]],3,TME[[#All],[Large Provider Entity Code]],B36)/D36,"NA")</f>
        <v>NA</v>
      </c>
      <c r="I36" s="152" t="str">
        <f>IFERROR(SUMIFS(TME[[#All],[Truncated Total Expenses (Total Truncated Claims Expenses + Non-Claims Expenses)]],TME[[#All],[Reporting Year]],2018,TME[[#All],[Insurance Category Code]],3,TME[[#All],[Large Provider Entity Code]],B36)/D36,"NA")</f>
        <v>NA</v>
      </c>
      <c r="J36" s="141">
        <f>SUMIFS(TME[[#All],[Member Months]],TME[[#All],[Reporting Year]],2019,TME[[#All],[Insurance Category Code]],3,TME[[#All],[Large Provider Entity Code]],B36)</f>
        <v>0</v>
      </c>
      <c r="K36" s="152" t="str">
        <f>IFERROR(SUMIFS(TME[[#All],[Total Non-Truncated Claims Spending]],TME[[#All],[Reporting Year]],2019,TME[[#All],[Insurance Category Code]],3,TME[[#All],[Large Provider Entity Code]],B36)/J36,"NA")</f>
        <v>NA</v>
      </c>
      <c r="L36" s="152" t="str">
        <f>IFERROR(SUMIFS(TME[[#All],[Total Truncated Claims Spending]],TME[[#All],[Reporting Year]],2019,TME[[#All],[Insurance Category Code]],3,TME[[#All],[Large Provider Entity Code]],B36)/J36,"NA")</f>
        <v>NA</v>
      </c>
      <c r="M36" s="152" t="str">
        <f>IFERROR(SUMIFS(TME[[#All],[Total Non-Claims Spending]],TME[[#All],[Reporting Year]],2019,TME[[#All],[Insurance Category Code]],3,TME[[#All],[Large Provider Entity Code]],B36)/J36,"NA")</f>
        <v>NA</v>
      </c>
      <c r="N36" s="152" t="str">
        <f>IFERROR(SUMIFS(TME[[#All],[Total Non-Truncated Claims and Non-Claims Spending]],TME[[#All],[Reporting Year]],2019,TME[[#All],[Insurance Category Code]],3,TME[[#All],[Large Provider Entity Code]],B36)/J36,"NA")</f>
        <v>NA</v>
      </c>
      <c r="O36" s="152" t="str">
        <f>IFERROR(SUMIFS(TME[[#All],[Truncated Total Expenses (Total Truncated Claims Expenses + Non-Claims Expenses)]],TME[[#All],[Reporting Year]],2019,TME[[#All],[Insurance Category Code]],3,TME[[#All],[Large Provider Entity Code]],B36)/J36,"NA")</f>
        <v>NA</v>
      </c>
      <c r="P36" s="154" t="str">
        <f t="shared" si="54"/>
        <v>NA</v>
      </c>
      <c r="Q36" s="154" t="str">
        <f t="shared" si="55"/>
        <v>NA</v>
      </c>
      <c r="R36" s="154" t="str">
        <f t="shared" si="56"/>
        <v>NA</v>
      </c>
      <c r="S36" s="154" t="str">
        <f t="shared" si="57"/>
        <v>NA</v>
      </c>
      <c r="T36" s="154" t="str">
        <f t="shared" si="58"/>
        <v>NA</v>
      </c>
      <c r="U36" s="154" t="str">
        <f t="shared" si="59"/>
        <v>NA</v>
      </c>
      <c r="W36" s="123">
        <v>110</v>
      </c>
      <c r="X36" s="103" t="s">
        <v>294</v>
      </c>
      <c r="Y36" s="141">
        <f>SUMIFS(TME[[#All],[Member Months]],TME[[#All],[Reporting Year]],2019,TME[[#All],[Insurance Category Code]],3,TME[[#All],[Large Provider Entity Code]],W36)</f>
        <v>0</v>
      </c>
      <c r="Z36" s="152" t="str">
        <f>IFERROR(SUMIFS(TME[[#All],[Total Non-Truncated Claims Spending]],TME[[#All],[Reporting Year]],2019,TME[[#All],[Insurance Category Code]],3,TME[[#All],[Large Provider Entity Code]],W36)/Y36,"NA")</f>
        <v>NA</v>
      </c>
      <c r="AA36" s="152" t="str">
        <f>IFERROR(SUMIFS(TME[[#All],[Total Truncated Claims Spending]],TME[[#All],[Reporting Year]],2019,TME[[#All],[Insurance Category Code]],3,TME[[#All],[Large Provider Entity Code]],W36)/Y36,"NA")</f>
        <v>NA</v>
      </c>
      <c r="AB36" s="152" t="str">
        <f>IFERROR(SUMIFS(TME[[#All],[Total Non-Claims Spending]],TME[[#All],[Reporting Year]],2019,TME[[#All],[Insurance Category Code]],3,TME[[#All],[Large Provider Entity Code]],W36)/Y36,"NA")</f>
        <v>NA</v>
      </c>
      <c r="AC36" s="152" t="str">
        <f>IFERROR(SUMIFS(TME[[#All],[Total Non-Truncated Claims and Non-Claims Spending]],TME[[#All],[Reporting Year]],2019,TME[[#All],[Insurance Category Code]],3,TME[[#All],[Large Provider Entity Code]],W36)/Y36,"NA")</f>
        <v>NA</v>
      </c>
      <c r="AD36" s="152" t="str">
        <f>IFERROR(SUMIFS(TME[[#All],[Truncated Total Expenses (Total Truncated Claims Expenses + Non-Claims Expenses)]],TME[[#All],[Reporting Year]],2019,TME[[#All],[Insurance Category Code]],3,TME[[#All],[Large Provider Entity Code]],W36)/Y36,"NA")</f>
        <v>NA</v>
      </c>
      <c r="AE36" s="141">
        <f>SUMIFS(TME[[#All],[Member Months]],TME[[#All],[Reporting Year]],2020,TME[[#All],[Insurance Category Code]],3,TME[[#All],[Large Provider Entity Code]],W36)</f>
        <v>0</v>
      </c>
      <c r="AF36" s="152" t="str">
        <f>IFERROR(SUMIFS(TME[[#All],[Total Non-Truncated Claims Spending]],TME[[#All],[Reporting Year]],2020,TME[[#All],[Insurance Category Code]],3,TME[[#All],[Large Provider Entity Code]],W36)/AE36,"NA")</f>
        <v>NA</v>
      </c>
      <c r="AG36" s="152" t="str">
        <f>IFERROR(SUMIFS(TME[[#All],[Total Truncated Claims Spending]],TME[[#All],[Reporting Year]],2020,TME[[#All],[Insurance Category Code]],3,TME[[#All],[Large Provider Entity Code]],W36)/AE36,"NA")</f>
        <v>NA</v>
      </c>
      <c r="AH36" s="152" t="str">
        <f>IFERROR(SUMIFS(TME[[#All],[Total Non-Claims Spending]],TME[[#All],[Reporting Year]],2020,TME[[#All],[Insurance Category Code]],3,TME[[#All],[Large Provider Entity Code]],W36)/AE36,"NA")</f>
        <v>NA</v>
      </c>
      <c r="AI36" s="152" t="str">
        <f>IFERROR(SUMIFS(TME[[#All],[Total Non-Truncated Claims and Non-Claims Spending]],TME[[#All],[Reporting Year]],2020,TME[[#All],[Insurance Category Code]],3,TME[[#All],[Large Provider Entity Code]],W36)/AE36,"NA")</f>
        <v>NA</v>
      </c>
      <c r="AJ36" s="152" t="str">
        <f>IFERROR(SUMIFS(TME[[#All],[Truncated Total Expenses (Total Truncated Claims Expenses + Non-Claims Expenses)]],TME[[#All],[Reporting Year]],2020,TME[[#All],[Insurance Category Code]],3,TME[[#All],[Large Provider Entity Code]],W36)/AE36,"NA")</f>
        <v>NA</v>
      </c>
      <c r="AK36" s="154" t="str">
        <f t="shared" si="60"/>
        <v>NA</v>
      </c>
      <c r="AL36" s="154" t="str">
        <f t="shared" si="61"/>
        <v>NA</v>
      </c>
      <c r="AM36" s="154" t="str">
        <f t="shared" si="62"/>
        <v>NA</v>
      </c>
      <c r="AN36" s="154" t="str">
        <f t="shared" si="63"/>
        <v>NA</v>
      </c>
      <c r="AO36" s="154" t="str">
        <f t="shared" si="64"/>
        <v>NA</v>
      </c>
      <c r="AP36" s="154" t="str">
        <f t="shared" si="65"/>
        <v>NA</v>
      </c>
      <c r="AR36" s="123">
        <v>110</v>
      </c>
      <c r="AS36" s="103" t="s">
        <v>294</v>
      </c>
      <c r="AT36" s="141">
        <f>SUMIFS(TME[[#All],[Member Months]],TME[[#All],[Reporting Year]],2020,TME[[#All],[Insurance Category Code]],3,TME[[#All],[Large Provider Entity Code]],AR36)</f>
        <v>0</v>
      </c>
      <c r="AU36" s="152" t="str">
        <f>IFERROR(SUMIFS(TME[[#All],[Total Non-Truncated Claims Spending]],TME[[#All],[Reporting Year]],2020,TME[[#All],[Insurance Category Code]],3,TME[[#All],[Large Provider Entity Code]],AR36)/AT36,"NA")</f>
        <v>NA</v>
      </c>
      <c r="AV36" s="152" t="str">
        <f>IFERROR(SUMIFS(TME[[#All],[Total Truncated Claims Spending]],TME[[#All],[Reporting Year]],2020,TME[[#All],[Insurance Category Code]],3,TME[[#All],[Large Provider Entity Code]],AR36)/AT36,"NA")</f>
        <v>NA</v>
      </c>
      <c r="AW36" s="152" t="str">
        <f>IFERROR(SUMIFS(TME[[#All],[Total Non-Claims Spending]],TME[[#All],[Reporting Year]],2020,TME[[#All],[Insurance Category Code]],3,TME[[#All],[Large Provider Entity Code]],AR36)/AT36,"NA")</f>
        <v>NA</v>
      </c>
      <c r="AX36" s="152" t="str">
        <f>IFERROR(SUMIFS(TME[[#All],[Total Non-Truncated Claims and Non-Claims Spending]],TME[[#All],[Reporting Year]],2020,TME[[#All],[Insurance Category Code]],3,TME[[#All],[Large Provider Entity Code]],AR36)/AT36,"NA")</f>
        <v>NA</v>
      </c>
      <c r="AY36" s="152" t="str">
        <f>IFERROR(SUMIFS(TME[[#All],[Truncated Total Expenses (Total Truncated Claims Expenses + Non-Claims Expenses)]],TME[[#All],[Reporting Year]],2020,TME[[#All],[Insurance Category Code]],3,TME[[#All],[Large Provider Entity Code]],AR36)/AT36,"NA")</f>
        <v>NA</v>
      </c>
      <c r="AZ36" s="141">
        <f>SUMIFS(TME[[#All],[Member Months]],TME[[#All],[Reporting Year]],2021,TME[[#All],[Insurance Category Code]],3,TME[[#All],[Large Provider Entity Code]],AR36)</f>
        <v>0</v>
      </c>
      <c r="BA36" s="152" t="str">
        <f>IFERROR(SUMIFS(TME[[#All],[Total Non-Truncated Claims Spending]],TME[[#All],[Reporting Year]],2021,TME[[#All],[Insurance Category Code]],3,TME[[#All],[Large Provider Entity Code]],AR36)/AZ36,"NA")</f>
        <v>NA</v>
      </c>
      <c r="BB36" s="152" t="str">
        <f>IFERROR(SUMIFS(TME[[#All],[Total Truncated Claims Spending]],TME[[#All],[Reporting Year]],2021,TME[[#All],[Insurance Category Code]],3,TME[[#All],[Large Provider Entity Code]],AR36)/AZ36,"NA")</f>
        <v>NA</v>
      </c>
      <c r="BC36" s="152" t="str">
        <f>IFERROR(SUMIFS(TME[[#All],[Total Non-Claims Spending]],TME[[#All],[Reporting Year]],2021,TME[[#All],[Insurance Category Code]],3,TME[[#All],[Large Provider Entity Code]],AR36)/AZ36,"NA")</f>
        <v>NA</v>
      </c>
      <c r="BD36" s="152" t="str">
        <f>IFERROR(SUMIFS(TME[[#All],[Total Non-Truncated Claims and Non-Claims Spending]],TME[[#All],[Reporting Year]],2021,TME[[#All],[Insurance Category Code]],3,TME[[#All],[Large Provider Entity Code]],AR36)/AZ36,"NA")</f>
        <v>NA</v>
      </c>
      <c r="BE36" s="152" t="str">
        <f>IFERROR(SUMIFS(TME[[#All],[Truncated Total Expenses (Total Truncated Claims Expenses + Non-Claims Expenses)]],TME[[#All],[Reporting Year]],2021,TME[[#All],[Insurance Category Code]],3,TME[[#All],[Large Provider Entity Code]],AR36)/AZ36,"NA")</f>
        <v>NA</v>
      </c>
      <c r="BF36" s="154" t="str">
        <f t="shared" si="66"/>
        <v>NA</v>
      </c>
      <c r="BG36" s="154" t="str">
        <f t="shared" si="67"/>
        <v>NA</v>
      </c>
      <c r="BH36" s="154" t="str">
        <f t="shared" si="68"/>
        <v>NA</v>
      </c>
      <c r="BI36" s="154" t="str">
        <f t="shared" si="69"/>
        <v>NA</v>
      </c>
      <c r="BJ36" s="154" t="str">
        <f t="shared" si="70"/>
        <v>NA</v>
      </c>
      <c r="BK36" s="154" t="str">
        <f t="shared" si="71"/>
        <v>NA</v>
      </c>
    </row>
    <row r="37" spans="2:63" x14ac:dyDescent="0.35">
      <c r="B37" s="123">
        <v>111</v>
      </c>
      <c r="C37" s="103" t="s">
        <v>254</v>
      </c>
      <c r="D37" s="141">
        <f>SUMIFS(TME[[#All],[Member Months]],TME[[#All],[Reporting Year]],2018,TME[[#All],[Insurance Category Code]],3,TME[[#All],[Large Provider Entity Code]],B37)</f>
        <v>0</v>
      </c>
      <c r="E37" s="152" t="str">
        <f>IFERROR(SUMIFS(TME[[#All],[Total Non-Truncated Claims Spending]],TME[[#All],[Reporting Year]],2018,TME[[#All],[Insurance Category Code]],3,TME[[#All],[Large Provider Entity Code]],B37)/D37,"NA")</f>
        <v>NA</v>
      </c>
      <c r="F37" s="152" t="str">
        <f>IFERROR(SUMIFS(TME[[#All],[Total Truncated Claims Spending]],TME[[#All],[Reporting Year]],2018,TME[[#All],[Insurance Category Code]],3,TME[[#All],[Large Provider Entity Code]],B37)/D37,"NA")</f>
        <v>NA</v>
      </c>
      <c r="G37" s="152" t="str">
        <f>IFERROR(SUMIFS(TME[[#All],[Total Non-Claims Spending]],TME[[#All],[Reporting Year]],2018,TME[[#All],[Insurance Category Code]],3,TME[[#All],[Large Provider Entity Code]],B37)/D37,"NA")</f>
        <v>NA</v>
      </c>
      <c r="H37" s="152" t="str">
        <f>IFERROR(SUMIFS(TME[[#All],[Total Non-Truncated Claims and Non-Claims Spending]],TME[[#All],[Reporting Year]],2018,TME[[#All],[Insurance Category Code]],3,TME[[#All],[Large Provider Entity Code]],B37)/D37,"NA")</f>
        <v>NA</v>
      </c>
      <c r="I37" s="152" t="str">
        <f>IFERROR(SUMIFS(TME[[#All],[Truncated Total Expenses (Total Truncated Claims Expenses + Non-Claims Expenses)]],TME[[#All],[Reporting Year]],2018,TME[[#All],[Insurance Category Code]],3,TME[[#All],[Large Provider Entity Code]],B37)/D37,"NA")</f>
        <v>NA</v>
      </c>
      <c r="J37" s="141">
        <f>SUMIFS(TME[[#All],[Member Months]],TME[[#All],[Reporting Year]],2019,TME[[#All],[Insurance Category Code]],3,TME[[#All],[Large Provider Entity Code]],B37)</f>
        <v>0</v>
      </c>
      <c r="K37" s="152" t="str">
        <f>IFERROR(SUMIFS(TME[[#All],[Total Non-Truncated Claims Spending]],TME[[#All],[Reporting Year]],2019,TME[[#All],[Insurance Category Code]],3,TME[[#All],[Large Provider Entity Code]],B37)/J37,"NA")</f>
        <v>NA</v>
      </c>
      <c r="L37" s="152" t="str">
        <f>IFERROR(SUMIFS(TME[[#All],[Total Truncated Claims Spending]],TME[[#All],[Reporting Year]],2019,TME[[#All],[Insurance Category Code]],3,TME[[#All],[Large Provider Entity Code]],B37)/J37,"NA")</f>
        <v>NA</v>
      </c>
      <c r="M37" s="152" t="str">
        <f>IFERROR(SUMIFS(TME[[#All],[Total Non-Claims Spending]],TME[[#All],[Reporting Year]],2019,TME[[#All],[Insurance Category Code]],3,TME[[#All],[Large Provider Entity Code]],B37)/J37,"NA")</f>
        <v>NA</v>
      </c>
      <c r="N37" s="152" t="str">
        <f>IFERROR(SUMIFS(TME[[#All],[Total Non-Truncated Claims and Non-Claims Spending]],TME[[#All],[Reporting Year]],2019,TME[[#All],[Insurance Category Code]],3,TME[[#All],[Large Provider Entity Code]],B37)/J37,"NA")</f>
        <v>NA</v>
      </c>
      <c r="O37" s="152" t="str">
        <f>IFERROR(SUMIFS(TME[[#All],[Truncated Total Expenses (Total Truncated Claims Expenses + Non-Claims Expenses)]],TME[[#All],[Reporting Year]],2019,TME[[#All],[Insurance Category Code]],3,TME[[#All],[Large Provider Entity Code]],B37)/J37,"NA")</f>
        <v>NA</v>
      </c>
      <c r="P37" s="154" t="str">
        <f t="shared" si="54"/>
        <v>NA</v>
      </c>
      <c r="Q37" s="154" t="str">
        <f t="shared" si="55"/>
        <v>NA</v>
      </c>
      <c r="R37" s="154" t="str">
        <f t="shared" si="56"/>
        <v>NA</v>
      </c>
      <c r="S37" s="154" t="str">
        <f t="shared" si="57"/>
        <v>NA</v>
      </c>
      <c r="T37" s="154" t="str">
        <f t="shared" si="58"/>
        <v>NA</v>
      </c>
      <c r="U37" s="154" t="str">
        <f t="shared" si="59"/>
        <v>NA</v>
      </c>
      <c r="W37" s="123">
        <v>111</v>
      </c>
      <c r="X37" s="103" t="s">
        <v>254</v>
      </c>
      <c r="Y37" s="141">
        <f>SUMIFS(TME[[#All],[Member Months]],TME[[#All],[Reporting Year]],2019,TME[[#All],[Insurance Category Code]],3,TME[[#All],[Large Provider Entity Code]],W37)</f>
        <v>0</v>
      </c>
      <c r="Z37" s="152" t="str">
        <f>IFERROR(SUMIFS(TME[[#All],[Total Non-Truncated Claims Spending]],TME[[#All],[Reporting Year]],2019,TME[[#All],[Insurance Category Code]],3,TME[[#All],[Large Provider Entity Code]],W37)/Y37,"NA")</f>
        <v>NA</v>
      </c>
      <c r="AA37" s="152" t="str">
        <f>IFERROR(SUMIFS(TME[[#All],[Total Truncated Claims Spending]],TME[[#All],[Reporting Year]],2019,TME[[#All],[Insurance Category Code]],3,TME[[#All],[Large Provider Entity Code]],W37)/Y37,"NA")</f>
        <v>NA</v>
      </c>
      <c r="AB37" s="152" t="str">
        <f>IFERROR(SUMIFS(TME[[#All],[Total Non-Claims Spending]],TME[[#All],[Reporting Year]],2019,TME[[#All],[Insurance Category Code]],3,TME[[#All],[Large Provider Entity Code]],W37)/Y37,"NA")</f>
        <v>NA</v>
      </c>
      <c r="AC37" s="152" t="str">
        <f>IFERROR(SUMIFS(TME[[#All],[Total Non-Truncated Claims and Non-Claims Spending]],TME[[#All],[Reporting Year]],2019,TME[[#All],[Insurance Category Code]],3,TME[[#All],[Large Provider Entity Code]],W37)/Y37,"NA")</f>
        <v>NA</v>
      </c>
      <c r="AD37" s="152" t="str">
        <f>IFERROR(SUMIFS(TME[[#All],[Truncated Total Expenses (Total Truncated Claims Expenses + Non-Claims Expenses)]],TME[[#All],[Reporting Year]],2019,TME[[#All],[Insurance Category Code]],3,TME[[#All],[Large Provider Entity Code]],W37)/Y37,"NA")</f>
        <v>NA</v>
      </c>
      <c r="AE37" s="141">
        <f>SUMIFS(TME[[#All],[Member Months]],TME[[#All],[Reporting Year]],2020,TME[[#All],[Insurance Category Code]],3,TME[[#All],[Large Provider Entity Code]],W37)</f>
        <v>0</v>
      </c>
      <c r="AF37" s="152" t="str">
        <f>IFERROR(SUMIFS(TME[[#All],[Total Non-Truncated Claims Spending]],TME[[#All],[Reporting Year]],2020,TME[[#All],[Insurance Category Code]],3,TME[[#All],[Large Provider Entity Code]],W37)/AE37,"NA")</f>
        <v>NA</v>
      </c>
      <c r="AG37" s="152" t="str">
        <f>IFERROR(SUMIFS(TME[[#All],[Total Truncated Claims Spending]],TME[[#All],[Reporting Year]],2020,TME[[#All],[Insurance Category Code]],3,TME[[#All],[Large Provider Entity Code]],W37)/AE37,"NA")</f>
        <v>NA</v>
      </c>
      <c r="AH37" s="152" t="str">
        <f>IFERROR(SUMIFS(TME[[#All],[Total Non-Claims Spending]],TME[[#All],[Reporting Year]],2020,TME[[#All],[Insurance Category Code]],3,TME[[#All],[Large Provider Entity Code]],W37)/AE37,"NA")</f>
        <v>NA</v>
      </c>
      <c r="AI37" s="152" t="str">
        <f>IFERROR(SUMIFS(TME[[#All],[Total Non-Truncated Claims and Non-Claims Spending]],TME[[#All],[Reporting Year]],2020,TME[[#All],[Insurance Category Code]],3,TME[[#All],[Large Provider Entity Code]],W37)/AE37,"NA")</f>
        <v>NA</v>
      </c>
      <c r="AJ37" s="152" t="str">
        <f>IFERROR(SUMIFS(TME[[#All],[Truncated Total Expenses (Total Truncated Claims Expenses + Non-Claims Expenses)]],TME[[#All],[Reporting Year]],2020,TME[[#All],[Insurance Category Code]],3,TME[[#All],[Large Provider Entity Code]],W37)/AE37,"NA")</f>
        <v>NA</v>
      </c>
      <c r="AK37" s="154" t="str">
        <f t="shared" si="60"/>
        <v>NA</v>
      </c>
      <c r="AL37" s="154" t="str">
        <f t="shared" si="61"/>
        <v>NA</v>
      </c>
      <c r="AM37" s="154" t="str">
        <f t="shared" si="62"/>
        <v>NA</v>
      </c>
      <c r="AN37" s="154" t="str">
        <f t="shared" si="63"/>
        <v>NA</v>
      </c>
      <c r="AO37" s="154" t="str">
        <f t="shared" si="64"/>
        <v>NA</v>
      </c>
      <c r="AP37" s="154" t="str">
        <f t="shared" si="65"/>
        <v>NA</v>
      </c>
      <c r="AR37" s="123">
        <v>111</v>
      </c>
      <c r="AS37" s="103" t="s">
        <v>254</v>
      </c>
      <c r="AT37" s="141">
        <f>SUMIFS(TME[[#All],[Member Months]],TME[[#All],[Reporting Year]],2020,TME[[#All],[Insurance Category Code]],3,TME[[#All],[Large Provider Entity Code]],AR37)</f>
        <v>0</v>
      </c>
      <c r="AU37" s="152" t="str">
        <f>IFERROR(SUMIFS(TME[[#All],[Total Non-Truncated Claims Spending]],TME[[#All],[Reporting Year]],2020,TME[[#All],[Insurance Category Code]],3,TME[[#All],[Large Provider Entity Code]],AR37)/AT37,"NA")</f>
        <v>NA</v>
      </c>
      <c r="AV37" s="152" t="str">
        <f>IFERROR(SUMIFS(TME[[#All],[Total Truncated Claims Spending]],TME[[#All],[Reporting Year]],2020,TME[[#All],[Insurance Category Code]],3,TME[[#All],[Large Provider Entity Code]],AR37)/AT37,"NA")</f>
        <v>NA</v>
      </c>
      <c r="AW37" s="152" t="str">
        <f>IFERROR(SUMIFS(TME[[#All],[Total Non-Claims Spending]],TME[[#All],[Reporting Year]],2020,TME[[#All],[Insurance Category Code]],3,TME[[#All],[Large Provider Entity Code]],AR37)/AT37,"NA")</f>
        <v>NA</v>
      </c>
      <c r="AX37" s="152" t="str">
        <f>IFERROR(SUMIFS(TME[[#All],[Total Non-Truncated Claims and Non-Claims Spending]],TME[[#All],[Reporting Year]],2020,TME[[#All],[Insurance Category Code]],3,TME[[#All],[Large Provider Entity Code]],AR37)/AT37,"NA")</f>
        <v>NA</v>
      </c>
      <c r="AY37" s="152" t="str">
        <f>IFERROR(SUMIFS(TME[[#All],[Truncated Total Expenses (Total Truncated Claims Expenses + Non-Claims Expenses)]],TME[[#All],[Reporting Year]],2020,TME[[#All],[Insurance Category Code]],3,TME[[#All],[Large Provider Entity Code]],AR37)/AT37,"NA")</f>
        <v>NA</v>
      </c>
      <c r="AZ37" s="141">
        <f>SUMIFS(TME[[#All],[Member Months]],TME[[#All],[Reporting Year]],2021,TME[[#All],[Insurance Category Code]],3,TME[[#All],[Large Provider Entity Code]],AR37)</f>
        <v>0</v>
      </c>
      <c r="BA37" s="152" t="str">
        <f>IFERROR(SUMIFS(TME[[#All],[Total Non-Truncated Claims Spending]],TME[[#All],[Reporting Year]],2021,TME[[#All],[Insurance Category Code]],3,TME[[#All],[Large Provider Entity Code]],AR37)/AZ37,"NA")</f>
        <v>NA</v>
      </c>
      <c r="BB37" s="152" t="str">
        <f>IFERROR(SUMIFS(TME[[#All],[Total Truncated Claims Spending]],TME[[#All],[Reporting Year]],2021,TME[[#All],[Insurance Category Code]],3,TME[[#All],[Large Provider Entity Code]],AR37)/AZ37,"NA")</f>
        <v>NA</v>
      </c>
      <c r="BC37" s="152" t="str">
        <f>IFERROR(SUMIFS(TME[[#All],[Total Non-Claims Spending]],TME[[#All],[Reporting Year]],2021,TME[[#All],[Insurance Category Code]],3,TME[[#All],[Large Provider Entity Code]],AR37)/AZ37,"NA")</f>
        <v>NA</v>
      </c>
      <c r="BD37" s="152" t="str">
        <f>IFERROR(SUMIFS(TME[[#All],[Total Non-Truncated Claims and Non-Claims Spending]],TME[[#All],[Reporting Year]],2021,TME[[#All],[Insurance Category Code]],3,TME[[#All],[Large Provider Entity Code]],AR37)/AZ37,"NA")</f>
        <v>NA</v>
      </c>
      <c r="BE37" s="152" t="str">
        <f>IFERROR(SUMIFS(TME[[#All],[Truncated Total Expenses (Total Truncated Claims Expenses + Non-Claims Expenses)]],TME[[#All],[Reporting Year]],2021,TME[[#All],[Insurance Category Code]],3,TME[[#All],[Large Provider Entity Code]],AR37)/AZ37,"NA")</f>
        <v>NA</v>
      </c>
      <c r="BF37" s="154" t="str">
        <f t="shared" si="66"/>
        <v>NA</v>
      </c>
      <c r="BG37" s="154" t="str">
        <f t="shared" si="67"/>
        <v>NA</v>
      </c>
      <c r="BH37" s="154" t="str">
        <f t="shared" si="68"/>
        <v>NA</v>
      </c>
      <c r="BI37" s="154" t="str">
        <f t="shared" si="69"/>
        <v>NA</v>
      </c>
      <c r="BJ37" s="154" t="str">
        <f t="shared" si="70"/>
        <v>NA</v>
      </c>
      <c r="BK37" s="154" t="str">
        <f t="shared" si="71"/>
        <v>NA</v>
      </c>
    </row>
    <row r="38" spans="2:63" x14ac:dyDescent="0.35">
      <c r="B38" s="123">
        <v>999</v>
      </c>
      <c r="C38" s="103" t="s">
        <v>42</v>
      </c>
      <c r="D38" s="141">
        <f>SUMIFS(TME[[#All],[Member Months]],TME[[#All],[Reporting Year]],2018,TME[[#All],[Insurance Category Code]],3,TME[[#All],[Large Provider Entity Code]],B38)</f>
        <v>0</v>
      </c>
      <c r="E38" s="152" t="str">
        <f>IFERROR(SUMIFS(TME[[#All],[Total Non-Truncated Claims Spending]],TME[[#All],[Reporting Year]],2018,TME[[#All],[Insurance Category Code]],3,TME[[#All],[Large Provider Entity Code]],B38)/D38,"NA")</f>
        <v>NA</v>
      </c>
      <c r="F38" s="152" t="str">
        <f>IFERROR(SUMIFS(TME[[#All],[Total Truncated Claims Spending]],TME[[#All],[Reporting Year]],2018,TME[[#All],[Insurance Category Code]],3,TME[[#All],[Large Provider Entity Code]],B38)/D38,"NA")</f>
        <v>NA</v>
      </c>
      <c r="G38" s="152" t="str">
        <f>IFERROR(SUMIFS(TME[[#All],[Total Non-Claims Spending]],TME[[#All],[Reporting Year]],2018,TME[[#All],[Insurance Category Code]],3,TME[[#All],[Large Provider Entity Code]],B38)/D38,"NA")</f>
        <v>NA</v>
      </c>
      <c r="H38" s="152" t="str">
        <f>IFERROR(SUMIFS(TME[[#All],[Total Non-Truncated Claims and Non-Claims Spending]],TME[[#All],[Reporting Year]],2018,TME[[#All],[Insurance Category Code]],3,TME[[#All],[Large Provider Entity Code]],B38)/D38,"NA")</f>
        <v>NA</v>
      </c>
      <c r="I38" s="152" t="str">
        <f>IFERROR(SUMIFS(TME[[#All],[Truncated Total Expenses (Total Truncated Claims Expenses + Non-Claims Expenses)]],TME[[#All],[Reporting Year]],2018,TME[[#All],[Insurance Category Code]],3,TME[[#All],[Large Provider Entity Code]],B38)/D38,"NA")</f>
        <v>NA</v>
      </c>
      <c r="J38" s="141">
        <f>SUMIFS(TME[[#All],[Member Months]],TME[[#All],[Reporting Year]],2019,TME[[#All],[Insurance Category Code]],3,TME[[#All],[Large Provider Entity Code]],B38)</f>
        <v>0</v>
      </c>
      <c r="K38" s="152" t="str">
        <f>IFERROR(SUMIFS(TME[[#All],[Total Non-Truncated Claims Spending]],TME[[#All],[Reporting Year]],2019,TME[[#All],[Insurance Category Code]],3,TME[[#All],[Large Provider Entity Code]],B38)/J38,"NA")</f>
        <v>NA</v>
      </c>
      <c r="L38" s="152" t="str">
        <f>IFERROR(SUMIFS(TME[[#All],[Total Truncated Claims Spending]],TME[[#All],[Reporting Year]],2019,TME[[#All],[Insurance Category Code]],3,TME[[#All],[Large Provider Entity Code]],B38)/J38,"NA")</f>
        <v>NA</v>
      </c>
      <c r="M38" s="152" t="str">
        <f>IFERROR(SUMIFS(TME[[#All],[Total Non-Claims Spending]],TME[[#All],[Reporting Year]],2019,TME[[#All],[Insurance Category Code]],3,TME[[#All],[Large Provider Entity Code]],B38)/J38,"NA")</f>
        <v>NA</v>
      </c>
      <c r="N38" s="152" t="str">
        <f>IFERROR(SUMIFS(TME[[#All],[Total Non-Truncated Claims and Non-Claims Spending]],TME[[#All],[Reporting Year]],2019,TME[[#All],[Insurance Category Code]],3,TME[[#All],[Large Provider Entity Code]],B38)/J38,"NA")</f>
        <v>NA</v>
      </c>
      <c r="O38" s="152" t="str">
        <f>IFERROR(SUMIFS(TME[[#All],[Truncated Total Expenses (Total Truncated Claims Expenses + Non-Claims Expenses)]],TME[[#All],[Reporting Year]],2019,TME[[#All],[Insurance Category Code]],3,TME[[#All],[Large Provider Entity Code]],B38)/J38,"NA")</f>
        <v>NA</v>
      </c>
      <c r="P38" s="154" t="str">
        <f t="shared" si="54"/>
        <v>NA</v>
      </c>
      <c r="Q38" s="154" t="str">
        <f t="shared" si="55"/>
        <v>NA</v>
      </c>
      <c r="R38" s="154" t="str">
        <f t="shared" si="56"/>
        <v>NA</v>
      </c>
      <c r="S38" s="154" t="str">
        <f t="shared" si="57"/>
        <v>NA</v>
      </c>
      <c r="T38" s="154" t="str">
        <f t="shared" si="58"/>
        <v>NA</v>
      </c>
      <c r="U38" s="154" t="str">
        <f t="shared" si="59"/>
        <v>NA</v>
      </c>
      <c r="W38" s="123">
        <v>999</v>
      </c>
      <c r="X38" s="103" t="s">
        <v>42</v>
      </c>
      <c r="Y38" s="141">
        <f>SUMIFS(TME[[#All],[Member Months]],TME[[#All],[Reporting Year]],2019,TME[[#All],[Insurance Category Code]],3,TME[[#All],[Large Provider Entity Code]],W38)</f>
        <v>0</v>
      </c>
      <c r="Z38" s="152" t="str">
        <f>IFERROR(SUMIFS(TME[[#All],[Total Non-Truncated Claims Spending]],TME[[#All],[Reporting Year]],2019,TME[[#All],[Insurance Category Code]],3,TME[[#All],[Large Provider Entity Code]],W38)/Y38,"NA")</f>
        <v>NA</v>
      </c>
      <c r="AA38" s="152" t="str">
        <f>IFERROR(SUMIFS(TME[[#All],[Total Truncated Claims Spending]],TME[[#All],[Reporting Year]],2019,TME[[#All],[Insurance Category Code]],3,TME[[#All],[Large Provider Entity Code]],W38)/Y38,"NA")</f>
        <v>NA</v>
      </c>
      <c r="AB38" s="152" t="str">
        <f>IFERROR(SUMIFS(TME[[#All],[Total Non-Claims Spending]],TME[[#All],[Reporting Year]],2019,TME[[#All],[Insurance Category Code]],3,TME[[#All],[Large Provider Entity Code]],W38)/Y38,"NA")</f>
        <v>NA</v>
      </c>
      <c r="AC38" s="152" t="str">
        <f>IFERROR(SUMIFS(TME[[#All],[Total Non-Truncated Claims and Non-Claims Spending]],TME[[#All],[Reporting Year]],2019,TME[[#All],[Insurance Category Code]],3,TME[[#All],[Large Provider Entity Code]],W38)/Y38,"NA")</f>
        <v>NA</v>
      </c>
      <c r="AD38" s="152" t="str">
        <f>IFERROR(SUMIFS(TME[[#All],[Truncated Total Expenses (Total Truncated Claims Expenses + Non-Claims Expenses)]],TME[[#All],[Reporting Year]],2019,TME[[#All],[Insurance Category Code]],3,TME[[#All],[Large Provider Entity Code]],W38)/Y38,"NA")</f>
        <v>NA</v>
      </c>
      <c r="AE38" s="141">
        <f>SUMIFS(TME[[#All],[Member Months]],TME[[#All],[Reporting Year]],2020,TME[[#All],[Insurance Category Code]],3,TME[[#All],[Large Provider Entity Code]],W38)</f>
        <v>0</v>
      </c>
      <c r="AF38" s="152" t="str">
        <f>IFERROR(SUMIFS(TME[[#All],[Total Non-Truncated Claims Spending]],TME[[#All],[Reporting Year]],2020,TME[[#All],[Insurance Category Code]],3,TME[[#All],[Large Provider Entity Code]],W38)/AE38,"NA")</f>
        <v>NA</v>
      </c>
      <c r="AG38" s="152" t="str">
        <f>IFERROR(SUMIFS(TME[[#All],[Total Truncated Claims Spending]],TME[[#All],[Reporting Year]],2020,TME[[#All],[Insurance Category Code]],3,TME[[#All],[Large Provider Entity Code]],W38)/AE38,"NA")</f>
        <v>NA</v>
      </c>
      <c r="AH38" s="152" t="str">
        <f>IFERROR(SUMIFS(TME[[#All],[Total Non-Claims Spending]],TME[[#All],[Reporting Year]],2020,TME[[#All],[Insurance Category Code]],3,TME[[#All],[Large Provider Entity Code]],W38)/AE38,"NA")</f>
        <v>NA</v>
      </c>
      <c r="AI38" s="152" t="str">
        <f>IFERROR(SUMIFS(TME[[#All],[Total Non-Truncated Claims and Non-Claims Spending]],TME[[#All],[Reporting Year]],2020,TME[[#All],[Insurance Category Code]],3,TME[[#All],[Large Provider Entity Code]],W38)/AE38,"NA")</f>
        <v>NA</v>
      </c>
      <c r="AJ38" s="152" t="str">
        <f>IFERROR(SUMIFS(TME[[#All],[Truncated Total Expenses (Total Truncated Claims Expenses + Non-Claims Expenses)]],TME[[#All],[Reporting Year]],2020,TME[[#All],[Insurance Category Code]],3,TME[[#All],[Large Provider Entity Code]],W38)/AE38,"NA")</f>
        <v>NA</v>
      </c>
      <c r="AK38" s="154" t="str">
        <f t="shared" si="60"/>
        <v>NA</v>
      </c>
      <c r="AL38" s="154" t="str">
        <f t="shared" si="61"/>
        <v>NA</v>
      </c>
      <c r="AM38" s="154" t="str">
        <f t="shared" si="62"/>
        <v>NA</v>
      </c>
      <c r="AN38" s="154" t="str">
        <f t="shared" si="63"/>
        <v>NA</v>
      </c>
      <c r="AO38" s="154" t="str">
        <f t="shared" si="64"/>
        <v>NA</v>
      </c>
      <c r="AP38" s="154" t="str">
        <f t="shared" si="65"/>
        <v>NA</v>
      </c>
      <c r="AR38" s="123">
        <v>999</v>
      </c>
      <c r="AS38" s="103" t="s">
        <v>42</v>
      </c>
      <c r="AT38" s="141">
        <f>SUMIFS(TME[[#All],[Member Months]],TME[[#All],[Reporting Year]],2020,TME[[#All],[Insurance Category Code]],3,TME[[#All],[Large Provider Entity Code]],AR38)</f>
        <v>0</v>
      </c>
      <c r="AU38" s="152" t="str">
        <f>IFERROR(SUMIFS(TME[[#All],[Total Non-Truncated Claims Spending]],TME[[#All],[Reporting Year]],2020,TME[[#All],[Insurance Category Code]],3,TME[[#All],[Large Provider Entity Code]],AR38)/AT38,"NA")</f>
        <v>NA</v>
      </c>
      <c r="AV38" s="152" t="str">
        <f>IFERROR(SUMIFS(TME[[#All],[Total Truncated Claims Spending]],TME[[#All],[Reporting Year]],2020,TME[[#All],[Insurance Category Code]],3,TME[[#All],[Large Provider Entity Code]],AR38)/AT38,"NA")</f>
        <v>NA</v>
      </c>
      <c r="AW38" s="152" t="str">
        <f>IFERROR(SUMIFS(TME[[#All],[Total Non-Claims Spending]],TME[[#All],[Reporting Year]],2020,TME[[#All],[Insurance Category Code]],3,TME[[#All],[Large Provider Entity Code]],AR38)/AT38,"NA")</f>
        <v>NA</v>
      </c>
      <c r="AX38" s="152" t="str">
        <f>IFERROR(SUMIFS(TME[[#All],[Total Non-Truncated Claims and Non-Claims Spending]],TME[[#All],[Reporting Year]],2020,TME[[#All],[Insurance Category Code]],3,TME[[#All],[Large Provider Entity Code]],AR38)/AT38,"NA")</f>
        <v>NA</v>
      </c>
      <c r="AY38" s="152" t="str">
        <f>IFERROR(SUMIFS(TME[[#All],[Truncated Total Expenses (Total Truncated Claims Expenses + Non-Claims Expenses)]],TME[[#All],[Reporting Year]],2020,TME[[#All],[Insurance Category Code]],3,TME[[#All],[Large Provider Entity Code]],AR38)/AT38,"NA")</f>
        <v>NA</v>
      </c>
      <c r="AZ38" s="141">
        <f>SUMIFS(TME[[#All],[Member Months]],TME[[#All],[Reporting Year]],2021,TME[[#All],[Insurance Category Code]],3,TME[[#All],[Large Provider Entity Code]],AR38)</f>
        <v>0</v>
      </c>
      <c r="BA38" s="152" t="str">
        <f>IFERROR(SUMIFS(TME[[#All],[Total Non-Truncated Claims Spending]],TME[[#All],[Reporting Year]],2021,TME[[#All],[Insurance Category Code]],3,TME[[#All],[Large Provider Entity Code]],AR38)/AZ38,"NA")</f>
        <v>NA</v>
      </c>
      <c r="BB38" s="152" t="str">
        <f>IFERROR(SUMIFS(TME[[#All],[Total Truncated Claims Spending]],TME[[#All],[Reporting Year]],2021,TME[[#All],[Insurance Category Code]],3,TME[[#All],[Large Provider Entity Code]],AR38)/AZ38,"NA")</f>
        <v>NA</v>
      </c>
      <c r="BC38" s="152" t="str">
        <f>IFERROR(SUMIFS(TME[[#All],[Total Non-Claims Spending]],TME[[#All],[Reporting Year]],2021,TME[[#All],[Insurance Category Code]],3,TME[[#All],[Large Provider Entity Code]],AR38)/AZ38,"NA")</f>
        <v>NA</v>
      </c>
      <c r="BD38" s="152" t="str">
        <f>IFERROR(SUMIFS(TME[[#All],[Total Non-Truncated Claims and Non-Claims Spending]],TME[[#All],[Reporting Year]],2021,TME[[#All],[Insurance Category Code]],3,TME[[#All],[Large Provider Entity Code]],AR38)/AZ38,"NA")</f>
        <v>NA</v>
      </c>
      <c r="BE38" s="152" t="str">
        <f>IFERROR(SUMIFS(TME[[#All],[Truncated Total Expenses (Total Truncated Claims Expenses + Non-Claims Expenses)]],TME[[#All],[Reporting Year]],2021,TME[[#All],[Insurance Category Code]],3,TME[[#All],[Large Provider Entity Code]],AR38)/AZ38,"NA")</f>
        <v>NA</v>
      </c>
      <c r="BF38" s="154" t="str">
        <f t="shared" si="66"/>
        <v>NA</v>
      </c>
      <c r="BG38" s="154" t="str">
        <f t="shared" si="67"/>
        <v>NA</v>
      </c>
      <c r="BH38" s="154" t="str">
        <f t="shared" si="68"/>
        <v>NA</v>
      </c>
      <c r="BI38" s="154" t="str">
        <f t="shared" si="69"/>
        <v>NA</v>
      </c>
      <c r="BJ38" s="154" t="str">
        <f t="shared" si="70"/>
        <v>NA</v>
      </c>
      <c r="BK38" s="154" t="str">
        <f t="shared" si="71"/>
        <v>NA</v>
      </c>
    </row>
    <row r="39" spans="2:63" x14ac:dyDescent="0.35">
      <c r="B39" s="79"/>
      <c r="C39" s="79" t="s">
        <v>245</v>
      </c>
      <c r="D39" s="151">
        <f>SUM(D27:D38)</f>
        <v>0</v>
      </c>
      <c r="E39" s="153" t="str">
        <f>IFERROR((SUMPRODUCT(E27:E38,D27:D38)/D39),"NA")</f>
        <v>NA</v>
      </c>
      <c r="F39" s="153" t="str">
        <f>IFERROR((SUMPRODUCT(F27:F38,D27:D38)/D39),"NA")</f>
        <v>NA</v>
      </c>
      <c r="G39" s="153" t="str">
        <f>IFERROR((SUMPRODUCT(G27:G38,D27:D38)/D39),"NA")</f>
        <v>NA</v>
      </c>
      <c r="H39" s="153" t="str">
        <f>IFERROR((SUMPRODUCT(H27:H38,D27:D38)/D39),"NA")</f>
        <v>NA</v>
      </c>
      <c r="I39" s="153" t="str">
        <f>IFERROR((SUMPRODUCT(I27:I38,D27:D38)/D39),"NA")</f>
        <v>NA</v>
      </c>
      <c r="J39" s="151">
        <f>SUM(J27:J38)</f>
        <v>0</v>
      </c>
      <c r="K39" s="153" t="str">
        <f>IFERROR((SUMPRODUCT(K27:K38,J27:J38)/J39),"NA")</f>
        <v>NA</v>
      </c>
      <c r="L39" s="153" t="str">
        <f>IFERROR((SUMPRODUCT(L27:L38,J27:J38)/J39),"NA")</f>
        <v>NA</v>
      </c>
      <c r="M39" s="153" t="str">
        <f>IFERROR((SUMPRODUCT(M27:M38,J27:J38)/J39),"NA")</f>
        <v>NA</v>
      </c>
      <c r="N39" s="153" t="str">
        <f>IFERROR((SUMPRODUCT(N27:N38,J27:J38)/J39),"NA")</f>
        <v>NA</v>
      </c>
      <c r="O39" s="153" t="str">
        <f>IFERROR((SUMPRODUCT(O27:O38,J27:J38)/J39),"NA")</f>
        <v>NA</v>
      </c>
      <c r="P39" s="155" t="str">
        <f t="shared" si="54"/>
        <v>NA</v>
      </c>
      <c r="Q39" s="155" t="str">
        <f t="shared" si="55"/>
        <v>NA</v>
      </c>
      <c r="R39" s="155" t="str">
        <f t="shared" si="56"/>
        <v>NA</v>
      </c>
      <c r="S39" s="155" t="str">
        <f t="shared" si="57"/>
        <v>NA</v>
      </c>
      <c r="T39" s="155" t="str">
        <f t="shared" si="58"/>
        <v>NA</v>
      </c>
      <c r="U39" s="155" t="str">
        <f t="shared" si="59"/>
        <v>NA</v>
      </c>
      <c r="W39" s="79"/>
      <c r="X39" s="79" t="s">
        <v>245</v>
      </c>
      <c r="Y39" s="151">
        <f>SUM(Y27:Y38)</f>
        <v>0</v>
      </c>
      <c r="Z39" s="153" t="str">
        <f>IFERROR((SUMPRODUCT(Z27:Z38,Y27:Y38)/Y39),"NA")</f>
        <v>NA</v>
      </c>
      <c r="AA39" s="153" t="str">
        <f>IFERROR((SUMPRODUCT(AA27:AA38,Y27:Y38)/Y39),"NA")</f>
        <v>NA</v>
      </c>
      <c r="AB39" s="153" t="str">
        <f>IFERROR((SUMPRODUCT(AB27:AB38,Y27:Y38)/Y39),"NA")</f>
        <v>NA</v>
      </c>
      <c r="AC39" s="153" t="str">
        <f>IFERROR((SUMPRODUCT(AC27:AC38,Y27:Y38)/Y39),"NA")</f>
        <v>NA</v>
      </c>
      <c r="AD39" s="153" t="str">
        <f>IFERROR((SUMPRODUCT(AD27:AD38,Y27:Y38)/Y39),"NA")</f>
        <v>NA</v>
      </c>
      <c r="AE39" s="151">
        <f>SUM(AE27:AE38)</f>
        <v>0</v>
      </c>
      <c r="AF39" s="153" t="str">
        <f>IFERROR((SUMPRODUCT(AF27:AF38,AE27:AE38)/AE39),"NA")</f>
        <v>NA</v>
      </c>
      <c r="AG39" s="153" t="str">
        <f>IFERROR((SUMPRODUCT(AG27:AG38,AE27:AE38)/AE39),"NA")</f>
        <v>NA</v>
      </c>
      <c r="AH39" s="153" t="str">
        <f>IFERROR((SUMPRODUCT(AH27:AH38,AE27:AE38)/AE39),"NA")</f>
        <v>NA</v>
      </c>
      <c r="AI39" s="153" t="str">
        <f>IFERROR((SUMPRODUCT(AI27:AI38,AE27:AE38)/AE39),"NA")</f>
        <v>NA</v>
      </c>
      <c r="AJ39" s="153" t="str">
        <f>IFERROR((SUMPRODUCT(AJ27:AJ38,AE27:AE38)/AE39),"NA")</f>
        <v>NA</v>
      </c>
      <c r="AK39" s="155" t="str">
        <f t="shared" si="60"/>
        <v>NA</v>
      </c>
      <c r="AL39" s="155" t="str">
        <f t="shared" si="61"/>
        <v>NA</v>
      </c>
      <c r="AM39" s="155" t="str">
        <f t="shared" si="62"/>
        <v>NA</v>
      </c>
      <c r="AN39" s="155" t="str">
        <f t="shared" si="63"/>
        <v>NA</v>
      </c>
      <c r="AO39" s="155" t="str">
        <f t="shared" si="64"/>
        <v>NA</v>
      </c>
      <c r="AP39" s="155" t="str">
        <f t="shared" si="65"/>
        <v>NA</v>
      </c>
      <c r="AR39" s="79"/>
      <c r="AS39" s="79" t="s">
        <v>245</v>
      </c>
      <c r="AT39" s="151">
        <f>SUM(AT27:AT38)</f>
        <v>0</v>
      </c>
      <c r="AU39" s="153" t="str">
        <f>IFERROR((SUMPRODUCT(AU27:AU38,AT27:AT38)/AT39),"NA")</f>
        <v>NA</v>
      </c>
      <c r="AV39" s="153" t="str">
        <f>IFERROR((SUMPRODUCT(AV27:AV38,AT27:AT38)/AT39),"NA")</f>
        <v>NA</v>
      </c>
      <c r="AW39" s="153" t="str">
        <f>IFERROR((SUMPRODUCT(AW27:AW38,AT27:AT38)/AT39),"NA")</f>
        <v>NA</v>
      </c>
      <c r="AX39" s="153" t="str">
        <f>IFERROR((SUMPRODUCT(AX27:AX38,AT27:AT38)/AT39),"NA")</f>
        <v>NA</v>
      </c>
      <c r="AY39" s="153" t="str">
        <f>IFERROR((SUMPRODUCT(AY27:AY38,AT27:AT38)/AT39),"NA")</f>
        <v>NA</v>
      </c>
      <c r="AZ39" s="151">
        <f>SUM(AZ27:AZ38)</f>
        <v>0</v>
      </c>
      <c r="BA39" s="153" t="str">
        <f>IFERROR((SUMPRODUCT(BA27:BA38,AZ27:AZ38)/AZ39),"NA")</f>
        <v>NA</v>
      </c>
      <c r="BB39" s="153" t="str">
        <f>IFERROR((SUMPRODUCT(BB27:BB38,AZ27:AZ38)/AZ39),"NA")</f>
        <v>NA</v>
      </c>
      <c r="BC39" s="153" t="str">
        <f>IFERROR((SUMPRODUCT(BC27:BC38,AZ27:AZ38)/AZ39),"NA")</f>
        <v>NA</v>
      </c>
      <c r="BD39" s="153" t="str">
        <f>IFERROR((SUMPRODUCT(BD27:BD38,AZ27:AZ38)/AZ39),"NA")</f>
        <v>NA</v>
      </c>
      <c r="BE39" s="153" t="str">
        <f>IFERROR((SUMPRODUCT(BE27:BE38,AZ27:AZ38)/AZ39),"NA")</f>
        <v>NA</v>
      </c>
      <c r="BF39" s="155" t="str">
        <f t="shared" si="66"/>
        <v>NA</v>
      </c>
      <c r="BG39" s="155" t="str">
        <f t="shared" si="67"/>
        <v>NA</v>
      </c>
      <c r="BH39" s="155" t="str">
        <f t="shared" si="68"/>
        <v>NA</v>
      </c>
      <c r="BI39" s="155" t="str">
        <f t="shared" si="69"/>
        <v>NA</v>
      </c>
      <c r="BJ39" s="155" t="str">
        <f t="shared" si="70"/>
        <v>NA</v>
      </c>
      <c r="BK39" s="155" t="str">
        <f t="shared" si="71"/>
        <v>NA</v>
      </c>
    </row>
    <row r="40" spans="2:63" x14ac:dyDescent="0.35">
      <c r="B40" s="79"/>
      <c r="C40" s="79" t="s">
        <v>246</v>
      </c>
      <c r="D40" s="151">
        <f>D39</f>
        <v>0</v>
      </c>
      <c r="E40" s="153" t="str">
        <f>IFERROR(((SUMPRODUCT(E27:E38,D27:D38))-ABS(SUMIFS(RX_REBATE[[#All],[Total Pharmacy Rebate Amount]],RX_REBATE[[#All],[Reporting Year]],2018,RX_REBATE[[#All],[Insurance Category Code]],3)))/D40,"NA")</f>
        <v>NA</v>
      </c>
      <c r="F40" s="153" t="str">
        <f>IFERROR(((SUMPRODUCT(F27:F38,D27:D38))-ABS(SUMIFS(RX_REBATE[[#All],[Total Pharmacy Rebate Amount]],RX_REBATE[[#All],[Reporting Year]],2018,RX_REBATE[[#All],[Insurance Category Code]],3)))/D40,"NA")</f>
        <v>NA</v>
      </c>
      <c r="G40" s="153" t="str">
        <f>IFERROR(((SUMPRODUCT(G27:G38,D27:D38))-ABS(SUMIFS(RX_REBATE[[#All],[Total Pharmacy Rebate Amount]],RX_REBATE[[#All],[Reporting Year]],2018,RX_REBATE[[#All],[Insurance Category Code]],3)))/D40,"NA")</f>
        <v>NA</v>
      </c>
      <c r="H40" s="153" t="str">
        <f>IFERROR(((SUMPRODUCT(H27:H38,D27:D38))-ABS(SUMIFS(RX_REBATE[[#All],[Total Pharmacy Rebate Amount]],RX_REBATE[[#All],[Reporting Year]],2018,RX_REBATE[[#All],[Insurance Category Code]],3)))/D40,"NA")</f>
        <v>NA</v>
      </c>
      <c r="I40" s="153" t="str">
        <f>IFERROR(((SUMPRODUCT(I27:I38,D27:D38))-ABS(SUMIFS(RX_REBATE[[#All],[Total Pharmacy Rebate Amount]],RX_REBATE[[#All],[Reporting Year]],2018,RX_REBATE[[#All],[Insurance Category Code]],3)))/D40,"NA")</f>
        <v>NA</v>
      </c>
      <c r="J40" s="151">
        <f t="shared" ref="J40" si="72">J39</f>
        <v>0</v>
      </c>
      <c r="K40" s="153" t="str">
        <f>IFERROR(((SUMPRODUCT(K27:K38,J27:J38))-ABS(SUMIFS(RX_REBATE[[#All],[Total Pharmacy Rebate Amount]],RX_REBATE[[#All],[Reporting Year]],2019,RX_REBATE[[#All],[Insurance Category Code]],3)))/J40,"NA")</f>
        <v>NA</v>
      </c>
      <c r="L40" s="153" t="str">
        <f>IFERROR(((SUMPRODUCT(L27:L38,J27:J38))-ABS(SUMIFS(RX_REBATE[[#All],[Total Pharmacy Rebate Amount]],RX_REBATE[[#All],[Reporting Year]],2019,RX_REBATE[[#All],[Insurance Category Code]],3)))/J40,"NA")</f>
        <v>NA</v>
      </c>
      <c r="M40" s="153" t="str">
        <f>IFERROR(((SUMPRODUCT(M27:M38,J27:J38))-ABS(SUMIFS(RX_REBATE[[#All],[Total Pharmacy Rebate Amount]],RX_REBATE[[#All],[Reporting Year]],2019,RX_REBATE[[#All],[Insurance Category Code]],3)))/J40,"NA")</f>
        <v>NA</v>
      </c>
      <c r="N40" s="153" t="str">
        <f>IFERROR(((SUMPRODUCT(N27:N38,J27:J38))-ABS(SUMIFS(RX_REBATE[[#All],[Total Pharmacy Rebate Amount]],RX_REBATE[[#All],[Reporting Year]],2019,RX_REBATE[[#All],[Insurance Category Code]],3)))/J40,"NA")</f>
        <v>NA</v>
      </c>
      <c r="O40" s="153" t="str">
        <f>IFERROR(((SUMPRODUCT(O27:O38,J27:J38))-ABS(SUMIFS(RX_REBATE[[#All],[Total Pharmacy Rebate Amount]],RX_REBATE[[#All],[Reporting Year]],2019,RX_REBATE[[#All],[Insurance Category Code]],3)))/J40,"NA")</f>
        <v>NA</v>
      </c>
      <c r="P40" s="155" t="str">
        <f t="shared" si="54"/>
        <v>NA</v>
      </c>
      <c r="Q40" s="155" t="str">
        <f t="shared" si="55"/>
        <v>NA</v>
      </c>
      <c r="R40" s="155" t="str">
        <f t="shared" si="56"/>
        <v>NA</v>
      </c>
      <c r="S40" s="155" t="str">
        <f t="shared" si="57"/>
        <v>NA</v>
      </c>
      <c r="T40" s="155" t="str">
        <f t="shared" si="58"/>
        <v>NA</v>
      </c>
      <c r="U40" s="155" t="str">
        <f t="shared" si="59"/>
        <v>NA</v>
      </c>
      <c r="W40" s="79"/>
      <c r="X40" s="79" t="s">
        <v>246</v>
      </c>
      <c r="Y40" s="151">
        <f>Y39</f>
        <v>0</v>
      </c>
      <c r="Z40" s="153" t="str">
        <f>IFERROR(((SUMPRODUCT(Z27:Z38,Y27:Y38))-ABS(SUMIFS(RX_REBATE[[#All],[Total Pharmacy Rebate Amount]],RX_REBATE[[#All],[Reporting Year]],2019,RX_REBATE[[#All],[Insurance Category Code]],3)))/Y40,"NA")</f>
        <v>NA</v>
      </c>
      <c r="AA40" s="153" t="str">
        <f>IFERROR(((SUMPRODUCT(AA27:AA38,Y27:Y38))-ABS(SUMIFS(RX_REBATE[[#All],[Total Pharmacy Rebate Amount]],RX_REBATE[[#All],[Reporting Year]],2019,RX_REBATE[[#All],[Insurance Category Code]],3)))/Y40,"NA")</f>
        <v>NA</v>
      </c>
      <c r="AB40" s="153" t="str">
        <f>IFERROR(((SUMPRODUCT(AB27:AB38,Y27:Y38))-ABS(SUMIFS(RX_REBATE[[#All],[Total Pharmacy Rebate Amount]],RX_REBATE[[#All],[Reporting Year]],2019,RX_REBATE[[#All],[Insurance Category Code]],3)))/Y40,"NA")</f>
        <v>NA</v>
      </c>
      <c r="AC40" s="153" t="str">
        <f>IFERROR(((SUMPRODUCT(AC27:AC38,Y27:Y38))-ABS(SUMIFS(RX_REBATE[[#All],[Total Pharmacy Rebate Amount]],RX_REBATE[[#All],[Reporting Year]],2019,RX_REBATE[[#All],[Insurance Category Code]],3)))/Y40,"NA")</f>
        <v>NA</v>
      </c>
      <c r="AD40" s="153" t="str">
        <f>IFERROR(((SUMPRODUCT(AD27:AD38,Y27:Y38))-ABS(SUMIFS(RX_REBATE[[#All],[Total Pharmacy Rebate Amount]],RX_REBATE[[#All],[Reporting Year]],2019,RX_REBATE[[#All],[Insurance Category Code]],3)))/Y40,"NA")</f>
        <v>NA</v>
      </c>
      <c r="AE40" s="151">
        <f t="shared" ref="AE40" si="73">AE39</f>
        <v>0</v>
      </c>
      <c r="AF40" s="153" t="str">
        <f>IFERROR(((SUMPRODUCT(AF27:AF38,AE27:AE38))-ABS(SUMIFS(RX_REBATE[[#All],[Total Pharmacy Rebate Amount]],RX_REBATE[[#All],[Reporting Year]],2020,RX_REBATE[[#All],[Insurance Category Code]],3)))/AE40,"NA")</f>
        <v>NA</v>
      </c>
      <c r="AG40" s="153" t="str">
        <f>IFERROR(((SUMPRODUCT(AG27:AG38,AE27:AE38))-ABS(SUMIFS(RX_REBATE[[#All],[Total Pharmacy Rebate Amount]],RX_REBATE[[#All],[Reporting Year]],2020,RX_REBATE[[#All],[Insurance Category Code]],3)))/AE40,"NA")</f>
        <v>NA</v>
      </c>
      <c r="AH40" s="153" t="str">
        <f>IFERROR(((SUMPRODUCT(AH27:AH38,AE27:AE38))-ABS(SUMIFS(RX_REBATE[[#All],[Total Pharmacy Rebate Amount]],RX_REBATE[[#All],[Reporting Year]],2020,RX_REBATE[[#All],[Insurance Category Code]],3)))/AE40,"NA")</f>
        <v>NA</v>
      </c>
      <c r="AI40" s="153" t="str">
        <f>IFERROR(((SUMPRODUCT(AI27:AI38,AE27:AE38))-ABS(SUMIFS(RX_REBATE[[#All],[Total Pharmacy Rebate Amount]],RX_REBATE[[#All],[Reporting Year]],2020,RX_REBATE[[#All],[Insurance Category Code]],3)))/AE40,"NA")</f>
        <v>NA</v>
      </c>
      <c r="AJ40" s="153" t="str">
        <f>IFERROR(((SUMPRODUCT(AJ27:AJ38,AE27:AE38))-ABS(SUMIFS(RX_REBATE[[#All],[Total Pharmacy Rebate Amount]],RX_REBATE[[#All],[Reporting Year]],2020,RX_REBATE[[#All],[Insurance Category Code]],3)))/AE40,"NA")</f>
        <v>NA</v>
      </c>
      <c r="AK40" s="155" t="str">
        <f t="shared" si="60"/>
        <v>NA</v>
      </c>
      <c r="AL40" s="155" t="str">
        <f t="shared" si="61"/>
        <v>NA</v>
      </c>
      <c r="AM40" s="155" t="str">
        <f t="shared" si="62"/>
        <v>NA</v>
      </c>
      <c r="AN40" s="155" t="str">
        <f t="shared" si="63"/>
        <v>NA</v>
      </c>
      <c r="AO40" s="155" t="str">
        <f t="shared" si="64"/>
        <v>NA</v>
      </c>
      <c r="AP40" s="155" t="str">
        <f t="shared" si="65"/>
        <v>NA</v>
      </c>
      <c r="AR40" s="79"/>
      <c r="AS40" s="79" t="s">
        <v>246</v>
      </c>
      <c r="AT40" s="151">
        <f>AT39</f>
        <v>0</v>
      </c>
      <c r="AU40" s="153" t="str">
        <f>IFERROR(((SUMPRODUCT(AU27:AU38,AT27:AT38))-ABS(SUMIFS(RX_REBATE[[#All],[Total Pharmacy Rebate Amount]],RX_REBATE[[#All],[Reporting Year]],2020,RX_REBATE[[#All],[Insurance Category Code]],3)))/AT40,"NA")</f>
        <v>NA</v>
      </c>
      <c r="AV40" s="153" t="str">
        <f>IFERROR(((SUMPRODUCT(AV27:AV38,AT27:AT38))-ABS(SUMIFS(RX_REBATE[[#All],[Total Pharmacy Rebate Amount]],RX_REBATE[[#All],[Reporting Year]],2020,RX_REBATE[[#All],[Insurance Category Code]],3)))/AT40,"NA")</f>
        <v>NA</v>
      </c>
      <c r="AW40" s="153" t="str">
        <f>IFERROR(((SUMPRODUCT(AW27:AW38,AT27:AT38))-ABS(SUMIFS(RX_REBATE[[#All],[Total Pharmacy Rebate Amount]],RX_REBATE[[#All],[Reporting Year]],2020,RX_REBATE[[#All],[Insurance Category Code]],3)))/AT40,"NA")</f>
        <v>NA</v>
      </c>
      <c r="AX40" s="153" t="str">
        <f>IFERROR(((SUMPRODUCT(AX27:AX38,AT27:AT38))-ABS(SUMIFS(RX_REBATE[[#All],[Total Pharmacy Rebate Amount]],RX_REBATE[[#All],[Reporting Year]],2020,RX_REBATE[[#All],[Insurance Category Code]],3)))/AT40,"NA")</f>
        <v>NA</v>
      </c>
      <c r="AY40" s="153" t="str">
        <f>IFERROR(((SUMPRODUCT(AY27:AY38,AT27:AT38))-ABS(SUMIFS(RX_REBATE[[#All],[Total Pharmacy Rebate Amount]],RX_REBATE[[#All],[Reporting Year]],2020,RX_REBATE[[#All],[Insurance Category Code]],3)))/AT40,"NA")</f>
        <v>NA</v>
      </c>
      <c r="AZ40" s="151">
        <f t="shared" ref="AZ40" si="74">AZ39</f>
        <v>0</v>
      </c>
      <c r="BA40" s="153" t="str">
        <f>IFERROR(((SUMPRODUCT(BA27:BA38,AZ27:AZ38))-ABS(SUMIFS(RX_REBATE[[#All],[Total Pharmacy Rebate Amount]],RX_REBATE[[#All],[Reporting Year]],2021,RX_REBATE[[#All],[Insurance Category Code]],3)))/AZ40,"NA")</f>
        <v>NA</v>
      </c>
      <c r="BB40" s="153" t="str">
        <f>IFERROR(((SUMPRODUCT(BB27:BB38,AZ27:AZ38))-ABS(SUMIFS(RX_REBATE[[#All],[Total Pharmacy Rebate Amount]],RX_REBATE[[#All],[Reporting Year]],2021,RX_REBATE[[#All],[Insurance Category Code]],3)))/AZ40,"NA")</f>
        <v>NA</v>
      </c>
      <c r="BC40" s="153" t="str">
        <f>IFERROR(((SUMPRODUCT(BC27:BC38,AZ27:AZ38))-ABS(SUMIFS(RX_REBATE[[#All],[Total Pharmacy Rebate Amount]],RX_REBATE[[#All],[Reporting Year]],2021,RX_REBATE[[#All],[Insurance Category Code]],3)))/AZ40,"NA")</f>
        <v>NA</v>
      </c>
      <c r="BD40" s="153" t="str">
        <f>IFERROR(((SUMPRODUCT(BD27:BD38,AZ27:AZ38))-ABS(SUMIFS(RX_REBATE[[#All],[Total Pharmacy Rebate Amount]],RX_REBATE[[#All],[Reporting Year]],2021,RX_REBATE[[#All],[Insurance Category Code]],3)))/AZ40,"NA")</f>
        <v>NA</v>
      </c>
      <c r="BE40" s="153" t="str">
        <f>IFERROR(((SUMPRODUCT(BE27:BE38,AZ27:AZ38))-ABS(SUMIFS(RX_REBATE[[#All],[Total Pharmacy Rebate Amount]],RX_REBATE[[#All],[Reporting Year]],2021,RX_REBATE[[#All],[Insurance Category Code]],3)))/AZ40,"NA")</f>
        <v>NA</v>
      </c>
      <c r="BF40" s="155" t="str">
        <f t="shared" si="66"/>
        <v>NA</v>
      </c>
      <c r="BG40" s="155" t="str">
        <f t="shared" si="67"/>
        <v>NA</v>
      </c>
      <c r="BH40" s="155" t="str">
        <f t="shared" si="68"/>
        <v>NA</v>
      </c>
      <c r="BI40" s="155" t="str">
        <f t="shared" si="69"/>
        <v>NA</v>
      </c>
      <c r="BJ40" s="155" t="str">
        <f t="shared" si="70"/>
        <v>NA</v>
      </c>
      <c r="BK40" s="155" t="str">
        <f t="shared" si="71"/>
        <v>NA</v>
      </c>
    </row>
    <row r="42" spans="2:63" x14ac:dyDescent="0.35">
      <c r="B42" s="71" t="s">
        <v>338</v>
      </c>
      <c r="W42" s="71" t="s">
        <v>339</v>
      </c>
      <c r="AR42" s="71" t="s">
        <v>340</v>
      </c>
    </row>
    <row r="43" spans="2:63" x14ac:dyDescent="0.35">
      <c r="B43" s="70" t="s">
        <v>307</v>
      </c>
      <c r="W43" s="70" t="s">
        <v>307</v>
      </c>
      <c r="AR43" s="70" t="s">
        <v>307</v>
      </c>
    </row>
    <row r="44" spans="2:63" ht="15" customHeight="1" x14ac:dyDescent="0.35">
      <c r="B44" s="223" t="s">
        <v>300</v>
      </c>
      <c r="C44" s="225"/>
      <c r="D44" s="223">
        <v>2018</v>
      </c>
      <c r="E44" s="224"/>
      <c r="F44" s="224"/>
      <c r="G44" s="224"/>
      <c r="H44" s="224"/>
      <c r="I44" s="225"/>
      <c r="J44" s="223">
        <v>2019</v>
      </c>
      <c r="K44" s="224"/>
      <c r="L44" s="224"/>
      <c r="M44" s="224"/>
      <c r="N44" s="224"/>
      <c r="O44" s="225"/>
      <c r="P44" s="223" t="s">
        <v>287</v>
      </c>
      <c r="Q44" s="224"/>
      <c r="R44" s="224"/>
      <c r="S44" s="224"/>
      <c r="T44" s="224"/>
      <c r="U44" s="225"/>
      <c r="W44" s="223" t="s">
        <v>300</v>
      </c>
      <c r="X44" s="225"/>
      <c r="Y44" s="223">
        <v>2019</v>
      </c>
      <c r="Z44" s="224"/>
      <c r="AA44" s="224"/>
      <c r="AB44" s="224"/>
      <c r="AC44" s="224"/>
      <c r="AD44" s="225"/>
      <c r="AE44" s="223">
        <v>2020</v>
      </c>
      <c r="AF44" s="224"/>
      <c r="AG44" s="224"/>
      <c r="AH44" s="224"/>
      <c r="AI44" s="224"/>
      <c r="AJ44" s="225"/>
      <c r="AK44" s="223" t="s">
        <v>288</v>
      </c>
      <c r="AL44" s="224"/>
      <c r="AM44" s="224"/>
      <c r="AN44" s="224"/>
      <c r="AO44" s="224"/>
      <c r="AP44" s="225"/>
      <c r="AR44" s="223" t="s">
        <v>300</v>
      </c>
      <c r="AS44" s="225"/>
      <c r="AT44" s="223">
        <v>2020</v>
      </c>
      <c r="AU44" s="224"/>
      <c r="AV44" s="224"/>
      <c r="AW44" s="224"/>
      <c r="AX44" s="224"/>
      <c r="AY44" s="225"/>
      <c r="AZ44" s="223">
        <v>2021</v>
      </c>
      <c r="BA44" s="224"/>
      <c r="BB44" s="224"/>
      <c r="BC44" s="224"/>
      <c r="BD44" s="224"/>
      <c r="BE44" s="225"/>
      <c r="BF44" s="223" t="s">
        <v>289</v>
      </c>
      <c r="BG44" s="224"/>
      <c r="BH44" s="224"/>
      <c r="BI44" s="224"/>
      <c r="BJ44" s="224"/>
      <c r="BK44" s="225"/>
    </row>
    <row r="45" spans="2:63" ht="43.5" x14ac:dyDescent="0.35">
      <c r="B45" s="95" t="s">
        <v>241</v>
      </c>
      <c r="C45" s="95" t="s">
        <v>242</v>
      </c>
      <c r="D45" s="95" t="s">
        <v>90</v>
      </c>
      <c r="E45" s="95" t="s">
        <v>267</v>
      </c>
      <c r="F45" s="95" t="s">
        <v>268</v>
      </c>
      <c r="G45" s="95" t="s">
        <v>243</v>
      </c>
      <c r="H45" s="95" t="s">
        <v>269</v>
      </c>
      <c r="I45" s="95" t="s">
        <v>244</v>
      </c>
      <c r="J45" s="95" t="s">
        <v>90</v>
      </c>
      <c r="K45" s="95" t="s">
        <v>267</v>
      </c>
      <c r="L45" s="95" t="s">
        <v>268</v>
      </c>
      <c r="M45" s="95" t="s">
        <v>243</v>
      </c>
      <c r="N45" s="95" t="s">
        <v>269</v>
      </c>
      <c r="O45" s="95" t="s">
        <v>244</v>
      </c>
      <c r="P45" s="95" t="s">
        <v>90</v>
      </c>
      <c r="Q45" s="95" t="s">
        <v>267</v>
      </c>
      <c r="R45" s="95" t="s">
        <v>268</v>
      </c>
      <c r="S45" s="95" t="s">
        <v>243</v>
      </c>
      <c r="T45" s="95" t="s">
        <v>269</v>
      </c>
      <c r="U45" s="95" t="s">
        <v>244</v>
      </c>
      <c r="W45" s="95" t="s">
        <v>241</v>
      </c>
      <c r="X45" s="95" t="s">
        <v>242</v>
      </c>
      <c r="Y45" s="95" t="s">
        <v>90</v>
      </c>
      <c r="Z45" s="95" t="s">
        <v>267</v>
      </c>
      <c r="AA45" s="95" t="s">
        <v>268</v>
      </c>
      <c r="AB45" s="95" t="s">
        <v>243</v>
      </c>
      <c r="AC45" s="95" t="s">
        <v>269</v>
      </c>
      <c r="AD45" s="95" t="s">
        <v>244</v>
      </c>
      <c r="AE45" s="95" t="s">
        <v>90</v>
      </c>
      <c r="AF45" s="95" t="s">
        <v>267</v>
      </c>
      <c r="AG45" s="95" t="s">
        <v>268</v>
      </c>
      <c r="AH45" s="95" t="s">
        <v>243</v>
      </c>
      <c r="AI45" s="95" t="s">
        <v>269</v>
      </c>
      <c r="AJ45" s="95" t="s">
        <v>244</v>
      </c>
      <c r="AK45" s="95" t="s">
        <v>90</v>
      </c>
      <c r="AL45" s="95" t="s">
        <v>267</v>
      </c>
      <c r="AM45" s="95" t="s">
        <v>268</v>
      </c>
      <c r="AN45" s="95" t="s">
        <v>243</v>
      </c>
      <c r="AO45" s="95" t="s">
        <v>269</v>
      </c>
      <c r="AP45" s="95" t="s">
        <v>244</v>
      </c>
      <c r="AR45" s="95" t="s">
        <v>241</v>
      </c>
      <c r="AS45" s="95" t="s">
        <v>242</v>
      </c>
      <c r="AT45" s="95" t="s">
        <v>90</v>
      </c>
      <c r="AU45" s="95" t="s">
        <v>267</v>
      </c>
      <c r="AV45" s="95" t="s">
        <v>268</v>
      </c>
      <c r="AW45" s="95" t="s">
        <v>243</v>
      </c>
      <c r="AX45" s="95" t="s">
        <v>269</v>
      </c>
      <c r="AY45" s="95" t="s">
        <v>244</v>
      </c>
      <c r="AZ45" s="95" t="s">
        <v>90</v>
      </c>
      <c r="BA45" s="95" t="s">
        <v>267</v>
      </c>
      <c r="BB45" s="95" t="s">
        <v>268</v>
      </c>
      <c r="BC45" s="95" t="s">
        <v>243</v>
      </c>
      <c r="BD45" s="95" t="s">
        <v>269</v>
      </c>
      <c r="BE45" s="95" t="s">
        <v>244</v>
      </c>
      <c r="BF45" s="95" t="s">
        <v>90</v>
      </c>
      <c r="BG45" s="95" t="s">
        <v>267</v>
      </c>
      <c r="BH45" s="95" t="s">
        <v>268</v>
      </c>
      <c r="BI45" s="95" t="s">
        <v>243</v>
      </c>
      <c r="BJ45" s="95" t="s">
        <v>269</v>
      </c>
      <c r="BK45" s="95" t="s">
        <v>244</v>
      </c>
    </row>
    <row r="46" spans="2:63" x14ac:dyDescent="0.35">
      <c r="B46" s="123">
        <v>101</v>
      </c>
      <c r="C46" s="103" t="s">
        <v>247</v>
      </c>
      <c r="D46" s="141">
        <f>SUMIFS(TME[[#All],[Member Months]],TME[[#All],[Reporting Year]],2018,TME[[#All],[Insurance Category Code]],4,TME[[#All],[Large Provider Entity Code]],B46)</f>
        <v>0</v>
      </c>
      <c r="E46" s="152" t="str">
        <f>IFERROR(SUMIFS(TME[[#All],[Total Non-Truncated Claims Spending]],TME[[#All],[Reporting Year]],2018,TME[[#All],[Insurance Category Code]],4,TME[[#All],[Large Provider Entity Code]],B46)/D46,"NA")</f>
        <v>NA</v>
      </c>
      <c r="F46" s="152" t="str">
        <f>IFERROR(SUMIFS(TME[[#All],[Total Truncated Claims Spending]],TME[[#All],[Reporting Year]],2018,TME[[#All],[Insurance Category Code]],4,TME[[#All],[Large Provider Entity Code]],B46)/D46,"NA")</f>
        <v>NA</v>
      </c>
      <c r="G46" s="152" t="str">
        <f>IFERROR(SUMIFS(TME[[#All],[Total Non-Claims Spending]],TME[[#All],[Reporting Year]],2018,TME[[#All],[Insurance Category Code]],4,TME[[#All],[Large Provider Entity Code]],B46)/D46,"NA")</f>
        <v>NA</v>
      </c>
      <c r="H46" s="152" t="str">
        <f>IFERROR(SUMIFS(TME[[#All],[Total Non-Truncated Claims and Non-Claims Spending]],TME[[#All],[Reporting Year]],2018,TME[[#All],[Insurance Category Code]],4,TME[[#All],[Large Provider Entity Code]],B46)/D46,"NA")</f>
        <v>NA</v>
      </c>
      <c r="I46" s="152" t="str">
        <f>IFERROR(SUMIFS(TME[[#All],[Truncated Total Expenses (Total Truncated Claims Expenses + Non-Claims Expenses)]],TME[[#All],[Reporting Year]],2018,TME[[#All],[Insurance Category Code]],4,TME[[#All],[Large Provider Entity Code]],B46)/D46,"NA")</f>
        <v>NA</v>
      </c>
      <c r="J46" s="141">
        <f>SUMIFS(TME[[#All],[Member Months]],TME[[#All],[Reporting Year]],2019,TME[[#All],[Insurance Category Code]],4,TME[[#All],[Large Provider Entity Code]],B46)</f>
        <v>0</v>
      </c>
      <c r="K46" s="152" t="str">
        <f>IFERROR(SUMIFS(TME[[#All],[Total Non-Truncated Claims Spending]],TME[[#All],[Reporting Year]],2019,TME[[#All],[Insurance Category Code]],4,TME[[#All],[Large Provider Entity Code]],B46)/J46,"NA")</f>
        <v>NA</v>
      </c>
      <c r="L46" s="152" t="str">
        <f>IFERROR(SUMIFS(TME[[#All],[Total Truncated Claims Spending]],TME[[#All],[Reporting Year]],2019,TME[[#All],[Insurance Category Code]],4,TME[[#All],[Large Provider Entity Code]],B46)/J46,"NA")</f>
        <v>NA</v>
      </c>
      <c r="M46" s="152" t="str">
        <f>IFERROR(SUMIFS(TME[[#All],[Total Non-Claims Spending]],TME[[#All],[Reporting Year]],2019,TME[[#All],[Insurance Category Code]],4,TME[[#All],[Large Provider Entity Code]],B46)/J46,"NA")</f>
        <v>NA</v>
      </c>
      <c r="N46" s="152" t="str">
        <f>IFERROR(SUMIFS(TME[[#All],[Total Non-Truncated Claims and Non-Claims Spending]],TME[[#All],[Reporting Year]],2019,TME[[#All],[Insurance Category Code]],4,TME[[#All],[Large Provider Entity Code]],B46)/J46,"NA")</f>
        <v>NA</v>
      </c>
      <c r="O46" s="152" t="str">
        <f>IFERROR(SUMIFS(TME[[#All],[Truncated Total Expenses (Total Truncated Claims Expenses + Non-Claims Expenses)]],TME[[#All],[Reporting Year]],2019,TME[[#All],[Insurance Category Code]],4,TME[[#All],[Large Provider Entity Code]],B46)/J46,"NA")</f>
        <v>NA</v>
      </c>
      <c r="P46" s="154" t="str">
        <f t="shared" ref="P46:P59" si="75">IFERROR((J46/D46-1),"NA")</f>
        <v>NA</v>
      </c>
      <c r="Q46" s="154" t="str">
        <f t="shared" ref="Q46:Q59" si="76">IFERROR((K46/E46-1),"NA")</f>
        <v>NA</v>
      </c>
      <c r="R46" s="154" t="str">
        <f t="shared" ref="R46:R59" si="77">IFERROR((L46/F46-1),"NA")</f>
        <v>NA</v>
      </c>
      <c r="S46" s="154" t="str">
        <f t="shared" ref="S46:S59" si="78">IFERROR((M46/G46-1),"NA")</f>
        <v>NA</v>
      </c>
      <c r="T46" s="154" t="str">
        <f t="shared" ref="T46:T59" si="79">IFERROR((N46/H46-1),"NA")</f>
        <v>NA</v>
      </c>
      <c r="U46" s="154" t="str">
        <f t="shared" ref="U46:U59" si="80">IFERROR((O46/I46-1),"NA")</f>
        <v>NA</v>
      </c>
      <c r="W46" s="123">
        <v>101</v>
      </c>
      <c r="X46" s="103" t="s">
        <v>247</v>
      </c>
      <c r="Y46" s="141">
        <f>SUMIFS(TME[[#All],[Member Months]],TME[[#All],[Reporting Year]],2019,TME[[#All],[Insurance Category Code]],4,TME[[#All],[Large Provider Entity Code]],W46)</f>
        <v>0</v>
      </c>
      <c r="Z46" s="152" t="str">
        <f>IFERROR(SUMIFS(TME[[#All],[Total Non-Truncated Claims Spending]],TME[[#All],[Reporting Year]],2019,TME[[#All],[Insurance Category Code]],4,TME[[#All],[Large Provider Entity Code]],W46)/Y46,"NA")</f>
        <v>NA</v>
      </c>
      <c r="AA46" s="152" t="str">
        <f>IFERROR(SUMIFS(TME[[#All],[Total Truncated Claims Spending]],TME[[#All],[Reporting Year]],2019,TME[[#All],[Insurance Category Code]],4,TME[[#All],[Large Provider Entity Code]],W46)/Y46,"NA")</f>
        <v>NA</v>
      </c>
      <c r="AB46" s="152" t="str">
        <f>IFERROR(SUMIFS(TME[[#All],[Total Non-Claims Spending]],TME[[#All],[Reporting Year]],2019,TME[[#All],[Insurance Category Code]],4,TME[[#All],[Large Provider Entity Code]],W46)/Y46,"NA")</f>
        <v>NA</v>
      </c>
      <c r="AC46" s="152" t="str">
        <f>IFERROR(SUMIFS(TME[[#All],[Total Non-Truncated Claims and Non-Claims Spending]],TME[[#All],[Reporting Year]],2019,TME[[#All],[Insurance Category Code]],4,TME[[#All],[Large Provider Entity Code]],W46)/Y46,"NA")</f>
        <v>NA</v>
      </c>
      <c r="AD46" s="152" t="str">
        <f>IFERROR(SUMIFS(TME[[#All],[Truncated Total Expenses (Total Truncated Claims Expenses + Non-Claims Expenses)]],TME[[#All],[Reporting Year]],2019,TME[[#All],[Insurance Category Code]],4,TME[[#All],[Large Provider Entity Code]],W46)/Y46,"NA")</f>
        <v>NA</v>
      </c>
      <c r="AE46" s="141">
        <f>SUMIFS(TME[[#All],[Member Months]],TME[[#All],[Reporting Year]],2020,TME[[#All],[Insurance Category Code]],4,TME[[#All],[Large Provider Entity Code]],W46)</f>
        <v>0</v>
      </c>
      <c r="AF46" s="152" t="str">
        <f>IFERROR(SUMIFS(TME[[#All],[Total Non-Truncated Claims Spending]],TME[[#All],[Reporting Year]],2020,TME[[#All],[Insurance Category Code]],4,TME[[#All],[Large Provider Entity Code]],W46)/AE46,"NA")</f>
        <v>NA</v>
      </c>
      <c r="AG46" s="152" t="str">
        <f>IFERROR(SUMIFS(TME[[#All],[Total Truncated Claims Spending]],TME[[#All],[Reporting Year]],2020,TME[[#All],[Insurance Category Code]],4,TME[[#All],[Large Provider Entity Code]],W46)/AE46,"NA")</f>
        <v>NA</v>
      </c>
      <c r="AH46" s="152" t="str">
        <f>IFERROR(SUMIFS(TME[[#All],[Total Non-Claims Spending]],TME[[#All],[Reporting Year]],2020,TME[[#All],[Insurance Category Code]],4,TME[[#All],[Large Provider Entity Code]],W46)/AE46,"NA")</f>
        <v>NA</v>
      </c>
      <c r="AI46" s="152" t="str">
        <f>IFERROR(SUMIFS(TME[[#All],[Total Non-Truncated Claims and Non-Claims Spending]],TME[[#All],[Reporting Year]],2020,TME[[#All],[Insurance Category Code]],4,TME[[#All],[Large Provider Entity Code]],W46)/AE46,"NA")</f>
        <v>NA</v>
      </c>
      <c r="AJ46" s="152" t="str">
        <f>IFERROR(SUMIFS(TME[[#All],[Truncated Total Expenses (Total Truncated Claims Expenses + Non-Claims Expenses)]],TME[[#All],[Reporting Year]],2020,TME[[#All],[Insurance Category Code]],4,TME[[#All],[Large Provider Entity Code]],W46)/AE46,"NA")</f>
        <v>NA</v>
      </c>
      <c r="AK46" s="154" t="str">
        <f t="shared" ref="AK46:AK59" si="81">IFERROR((AE46/Y46-1),"NA")</f>
        <v>NA</v>
      </c>
      <c r="AL46" s="154" t="str">
        <f t="shared" ref="AL46:AL59" si="82">IFERROR((AF46/Z46-1),"NA")</f>
        <v>NA</v>
      </c>
      <c r="AM46" s="154" t="str">
        <f t="shared" ref="AM46:AM59" si="83">IFERROR((AG46/AA46-1),"NA")</f>
        <v>NA</v>
      </c>
      <c r="AN46" s="154" t="str">
        <f t="shared" ref="AN46:AN59" si="84">IFERROR((AH46/AB46-1),"NA")</f>
        <v>NA</v>
      </c>
      <c r="AO46" s="154" t="str">
        <f t="shared" ref="AO46:AO59" si="85">IFERROR((AI46/AC46-1),"NA")</f>
        <v>NA</v>
      </c>
      <c r="AP46" s="154" t="str">
        <f t="shared" ref="AP46:AP59" si="86">IFERROR((AJ46/AD46-1),"NA")</f>
        <v>NA</v>
      </c>
      <c r="AR46" s="123">
        <v>101</v>
      </c>
      <c r="AS46" s="103" t="s">
        <v>247</v>
      </c>
      <c r="AT46" s="141">
        <f>SUMIFS(TME[[#All],[Member Months]],TME[[#All],[Reporting Year]],2020,TME[[#All],[Insurance Category Code]],4,TME[[#All],[Large Provider Entity Code]],AR46)</f>
        <v>0</v>
      </c>
      <c r="AU46" s="152" t="str">
        <f>IFERROR(SUMIFS(TME[[#All],[Total Non-Truncated Claims Spending]],TME[[#All],[Reporting Year]],2020,TME[[#All],[Insurance Category Code]],4,TME[[#All],[Large Provider Entity Code]],AR46)/AT46,"NA")</f>
        <v>NA</v>
      </c>
      <c r="AV46" s="152" t="str">
        <f>IFERROR(SUMIFS(TME[[#All],[Total Truncated Claims Spending]],TME[[#All],[Reporting Year]],2020,TME[[#All],[Insurance Category Code]],4,TME[[#All],[Large Provider Entity Code]],AR46)/AT46,"NA")</f>
        <v>NA</v>
      </c>
      <c r="AW46" s="152" t="str">
        <f>IFERROR(SUMIFS(TME[[#All],[Total Non-Claims Spending]],TME[[#All],[Reporting Year]],2020,TME[[#All],[Insurance Category Code]],4,TME[[#All],[Large Provider Entity Code]],AR46)/AT46,"NA")</f>
        <v>NA</v>
      </c>
      <c r="AX46" s="152" t="str">
        <f>IFERROR(SUMIFS(TME[[#All],[Total Non-Truncated Claims and Non-Claims Spending]],TME[[#All],[Reporting Year]],2020,TME[[#All],[Insurance Category Code]],4,TME[[#All],[Large Provider Entity Code]],AR46)/AT46,"NA")</f>
        <v>NA</v>
      </c>
      <c r="AY46" s="152" t="str">
        <f>IFERROR(SUMIFS(TME[[#All],[Truncated Total Expenses (Total Truncated Claims Expenses + Non-Claims Expenses)]],TME[[#All],[Reporting Year]],2020,TME[[#All],[Insurance Category Code]],4,TME[[#All],[Large Provider Entity Code]],AR46)/AT46,"NA")</f>
        <v>NA</v>
      </c>
      <c r="AZ46" s="141">
        <f>SUMIFS(TME[[#All],[Member Months]],TME[[#All],[Reporting Year]],2021,TME[[#All],[Insurance Category Code]],4,TME[[#All],[Large Provider Entity Code]],AR46)</f>
        <v>0</v>
      </c>
      <c r="BA46" s="152" t="str">
        <f>IFERROR(SUMIFS(TME[[#All],[Total Non-Truncated Claims Spending]],TME[[#All],[Reporting Year]],2021,TME[[#All],[Insurance Category Code]],4,TME[[#All],[Large Provider Entity Code]],AR46)/AZ46,"NA")</f>
        <v>NA</v>
      </c>
      <c r="BB46" s="152" t="str">
        <f>IFERROR(SUMIFS(TME[[#All],[Total Truncated Claims Spending]],TME[[#All],[Reporting Year]],2021,TME[[#All],[Insurance Category Code]],4,TME[[#All],[Large Provider Entity Code]],AR46)/AZ46,"NA")</f>
        <v>NA</v>
      </c>
      <c r="BC46" s="152" t="str">
        <f>IFERROR(SUMIFS(TME[[#All],[Total Non-Claims Spending]],TME[[#All],[Reporting Year]],2021,TME[[#All],[Insurance Category Code]],4,TME[[#All],[Large Provider Entity Code]],AR46)/AZ46,"NA")</f>
        <v>NA</v>
      </c>
      <c r="BD46" s="152" t="str">
        <f>IFERROR(SUMIFS(TME[[#All],[Total Non-Truncated Claims and Non-Claims Spending]],TME[[#All],[Reporting Year]],2021,TME[[#All],[Insurance Category Code]],4,TME[[#All],[Large Provider Entity Code]],AR46)/AZ46,"NA")</f>
        <v>NA</v>
      </c>
      <c r="BE46" s="152" t="str">
        <f>IFERROR(SUMIFS(TME[[#All],[Truncated Total Expenses (Total Truncated Claims Expenses + Non-Claims Expenses)]],TME[[#All],[Reporting Year]],2021,TME[[#All],[Insurance Category Code]],4,TME[[#All],[Large Provider Entity Code]],AR46)/AZ46,"NA")</f>
        <v>NA</v>
      </c>
      <c r="BF46" s="154" t="str">
        <f t="shared" ref="BF46:BF59" si="87">IFERROR((AZ46/AT46-1),"NA")</f>
        <v>NA</v>
      </c>
      <c r="BG46" s="154" t="str">
        <f t="shared" ref="BG46:BG59" si="88">IFERROR((BA46/AU46-1),"NA")</f>
        <v>NA</v>
      </c>
      <c r="BH46" s="154" t="str">
        <f t="shared" ref="BH46:BH59" si="89">IFERROR((BB46/AV46-1),"NA")</f>
        <v>NA</v>
      </c>
      <c r="BI46" s="154" t="str">
        <f t="shared" ref="BI46:BI59" si="90">IFERROR((BC46/AW46-1),"NA")</f>
        <v>NA</v>
      </c>
      <c r="BJ46" s="154" t="str">
        <f t="shared" ref="BJ46:BJ59" si="91">IFERROR((BD46/AX46-1),"NA")</f>
        <v>NA</v>
      </c>
      <c r="BK46" s="154" t="str">
        <f t="shared" ref="BK46:BK59" si="92">IFERROR((BE46/AY46-1),"NA")</f>
        <v>NA</v>
      </c>
    </row>
    <row r="47" spans="2:63" x14ac:dyDescent="0.35">
      <c r="B47" s="123">
        <v>102</v>
      </c>
      <c r="C47" s="103" t="s">
        <v>292</v>
      </c>
      <c r="D47" s="141">
        <f>SUMIFS(TME[[#All],[Member Months]],TME[[#All],[Reporting Year]],2018,TME[[#All],[Insurance Category Code]],4,TME[[#All],[Large Provider Entity Code]],B47)</f>
        <v>0</v>
      </c>
      <c r="E47" s="152" t="str">
        <f>IFERROR(SUMIFS(TME[[#All],[Total Non-Truncated Claims Spending]],TME[[#All],[Reporting Year]],2018,TME[[#All],[Insurance Category Code]],4,TME[[#All],[Large Provider Entity Code]],B47)/D47,"NA")</f>
        <v>NA</v>
      </c>
      <c r="F47" s="152" t="str">
        <f>IFERROR(SUMIFS(TME[[#All],[Total Truncated Claims Spending]],TME[[#All],[Reporting Year]],2018,TME[[#All],[Insurance Category Code]],4,TME[[#All],[Large Provider Entity Code]],B47)/D47,"NA")</f>
        <v>NA</v>
      </c>
      <c r="G47" s="152" t="str">
        <f>IFERROR(SUMIFS(TME[[#All],[Total Non-Claims Spending]],TME[[#All],[Reporting Year]],2018,TME[[#All],[Insurance Category Code]],4,TME[[#All],[Large Provider Entity Code]],B47)/D47,"NA")</f>
        <v>NA</v>
      </c>
      <c r="H47" s="152" t="str">
        <f>IFERROR(SUMIFS(TME[[#All],[Total Non-Truncated Claims and Non-Claims Spending]],TME[[#All],[Reporting Year]],2018,TME[[#All],[Insurance Category Code]],4,TME[[#All],[Large Provider Entity Code]],B47)/D47,"NA")</f>
        <v>NA</v>
      </c>
      <c r="I47" s="152" t="str">
        <f>IFERROR(SUMIFS(TME[[#All],[Truncated Total Expenses (Total Truncated Claims Expenses + Non-Claims Expenses)]],TME[[#All],[Reporting Year]],2018,TME[[#All],[Insurance Category Code]],4,TME[[#All],[Large Provider Entity Code]],B47)/D47,"NA")</f>
        <v>NA</v>
      </c>
      <c r="J47" s="141">
        <f>SUMIFS(TME[[#All],[Member Months]],TME[[#All],[Reporting Year]],2019,TME[[#All],[Insurance Category Code]],4,TME[[#All],[Large Provider Entity Code]],B47)</f>
        <v>0</v>
      </c>
      <c r="K47" s="152" t="str">
        <f>IFERROR(SUMIFS(TME[[#All],[Total Non-Truncated Claims Spending]],TME[[#All],[Reporting Year]],2019,TME[[#All],[Insurance Category Code]],4,TME[[#All],[Large Provider Entity Code]],B47)/J47,"NA")</f>
        <v>NA</v>
      </c>
      <c r="L47" s="152" t="str">
        <f>IFERROR(SUMIFS(TME[[#All],[Total Truncated Claims Spending]],TME[[#All],[Reporting Year]],2019,TME[[#All],[Insurance Category Code]],4,TME[[#All],[Large Provider Entity Code]],B47)/J47,"NA")</f>
        <v>NA</v>
      </c>
      <c r="M47" s="152" t="str">
        <f>IFERROR(SUMIFS(TME[[#All],[Total Non-Claims Spending]],TME[[#All],[Reporting Year]],2019,TME[[#All],[Insurance Category Code]],4,TME[[#All],[Large Provider Entity Code]],B47)/J47,"NA")</f>
        <v>NA</v>
      </c>
      <c r="N47" s="152" t="str">
        <f>IFERROR(SUMIFS(TME[[#All],[Total Non-Truncated Claims and Non-Claims Spending]],TME[[#All],[Reporting Year]],2019,TME[[#All],[Insurance Category Code]],4,TME[[#All],[Large Provider Entity Code]],B47)/J47,"NA")</f>
        <v>NA</v>
      </c>
      <c r="O47" s="152" t="str">
        <f>IFERROR(SUMIFS(TME[[#All],[Truncated Total Expenses (Total Truncated Claims Expenses + Non-Claims Expenses)]],TME[[#All],[Reporting Year]],2019,TME[[#All],[Insurance Category Code]],4,TME[[#All],[Large Provider Entity Code]],B47)/J47,"NA")</f>
        <v>NA</v>
      </c>
      <c r="P47" s="154" t="str">
        <f t="shared" si="75"/>
        <v>NA</v>
      </c>
      <c r="Q47" s="154" t="str">
        <f t="shared" si="76"/>
        <v>NA</v>
      </c>
      <c r="R47" s="154" t="str">
        <f t="shared" si="77"/>
        <v>NA</v>
      </c>
      <c r="S47" s="154" t="str">
        <f t="shared" si="78"/>
        <v>NA</v>
      </c>
      <c r="T47" s="154" t="str">
        <f t="shared" si="79"/>
        <v>NA</v>
      </c>
      <c r="U47" s="154" t="str">
        <f t="shared" si="80"/>
        <v>NA</v>
      </c>
      <c r="W47" s="123">
        <v>102</v>
      </c>
      <c r="X47" s="103" t="s">
        <v>292</v>
      </c>
      <c r="Y47" s="141">
        <f>SUMIFS(TME[[#All],[Member Months]],TME[[#All],[Reporting Year]],2019,TME[[#All],[Insurance Category Code]],4,TME[[#All],[Large Provider Entity Code]],W47)</f>
        <v>0</v>
      </c>
      <c r="Z47" s="152" t="str">
        <f>IFERROR(SUMIFS(TME[[#All],[Total Non-Truncated Claims Spending]],TME[[#All],[Reporting Year]],2019,TME[[#All],[Insurance Category Code]],4,TME[[#All],[Large Provider Entity Code]],W47)/Y47,"NA")</f>
        <v>NA</v>
      </c>
      <c r="AA47" s="152" t="str">
        <f>IFERROR(SUMIFS(TME[[#All],[Total Truncated Claims Spending]],TME[[#All],[Reporting Year]],2019,TME[[#All],[Insurance Category Code]],4,TME[[#All],[Large Provider Entity Code]],W47)/Y47,"NA")</f>
        <v>NA</v>
      </c>
      <c r="AB47" s="152" t="str">
        <f>IFERROR(SUMIFS(TME[[#All],[Total Non-Claims Spending]],TME[[#All],[Reporting Year]],2019,TME[[#All],[Insurance Category Code]],4,TME[[#All],[Large Provider Entity Code]],W47)/Y47,"NA")</f>
        <v>NA</v>
      </c>
      <c r="AC47" s="152" t="str">
        <f>IFERROR(SUMIFS(TME[[#All],[Total Non-Truncated Claims and Non-Claims Spending]],TME[[#All],[Reporting Year]],2019,TME[[#All],[Insurance Category Code]],4,TME[[#All],[Large Provider Entity Code]],W47)/Y47,"NA")</f>
        <v>NA</v>
      </c>
      <c r="AD47" s="152" t="str">
        <f>IFERROR(SUMIFS(TME[[#All],[Truncated Total Expenses (Total Truncated Claims Expenses + Non-Claims Expenses)]],TME[[#All],[Reporting Year]],2019,TME[[#All],[Insurance Category Code]],4,TME[[#All],[Large Provider Entity Code]],W47)/Y47,"NA")</f>
        <v>NA</v>
      </c>
      <c r="AE47" s="141">
        <f>SUMIFS(TME[[#All],[Member Months]],TME[[#All],[Reporting Year]],2020,TME[[#All],[Insurance Category Code]],4,TME[[#All],[Large Provider Entity Code]],W47)</f>
        <v>0</v>
      </c>
      <c r="AF47" s="152" t="str">
        <f>IFERROR(SUMIFS(TME[[#All],[Total Non-Truncated Claims Spending]],TME[[#All],[Reporting Year]],2020,TME[[#All],[Insurance Category Code]],4,TME[[#All],[Large Provider Entity Code]],W47)/AE47,"NA")</f>
        <v>NA</v>
      </c>
      <c r="AG47" s="152" t="str">
        <f>IFERROR(SUMIFS(TME[[#All],[Total Truncated Claims Spending]],TME[[#All],[Reporting Year]],2020,TME[[#All],[Insurance Category Code]],4,TME[[#All],[Large Provider Entity Code]],W47)/AE47,"NA")</f>
        <v>NA</v>
      </c>
      <c r="AH47" s="152" t="str">
        <f>IFERROR(SUMIFS(TME[[#All],[Total Non-Claims Spending]],TME[[#All],[Reporting Year]],2020,TME[[#All],[Insurance Category Code]],4,TME[[#All],[Large Provider Entity Code]],W47)/AE47,"NA")</f>
        <v>NA</v>
      </c>
      <c r="AI47" s="152" t="str">
        <f>IFERROR(SUMIFS(TME[[#All],[Total Non-Truncated Claims and Non-Claims Spending]],TME[[#All],[Reporting Year]],2020,TME[[#All],[Insurance Category Code]],4,TME[[#All],[Large Provider Entity Code]],W47)/AE47,"NA")</f>
        <v>NA</v>
      </c>
      <c r="AJ47" s="152" t="str">
        <f>IFERROR(SUMIFS(TME[[#All],[Truncated Total Expenses (Total Truncated Claims Expenses + Non-Claims Expenses)]],TME[[#All],[Reporting Year]],2020,TME[[#All],[Insurance Category Code]],4,TME[[#All],[Large Provider Entity Code]],W47)/AE47,"NA")</f>
        <v>NA</v>
      </c>
      <c r="AK47" s="154" t="str">
        <f t="shared" si="81"/>
        <v>NA</v>
      </c>
      <c r="AL47" s="154" t="str">
        <f t="shared" si="82"/>
        <v>NA</v>
      </c>
      <c r="AM47" s="154" t="str">
        <f t="shared" si="83"/>
        <v>NA</v>
      </c>
      <c r="AN47" s="154" t="str">
        <f t="shared" si="84"/>
        <v>NA</v>
      </c>
      <c r="AO47" s="154" t="str">
        <f t="shared" si="85"/>
        <v>NA</v>
      </c>
      <c r="AP47" s="154" t="str">
        <f t="shared" si="86"/>
        <v>NA</v>
      </c>
      <c r="AR47" s="123">
        <v>102</v>
      </c>
      <c r="AS47" s="103" t="s">
        <v>292</v>
      </c>
      <c r="AT47" s="141">
        <f>SUMIFS(TME[[#All],[Member Months]],TME[[#All],[Reporting Year]],2020,TME[[#All],[Insurance Category Code]],4,TME[[#All],[Large Provider Entity Code]],AR47)</f>
        <v>0</v>
      </c>
      <c r="AU47" s="152" t="str">
        <f>IFERROR(SUMIFS(TME[[#All],[Total Non-Truncated Claims Spending]],TME[[#All],[Reporting Year]],2020,TME[[#All],[Insurance Category Code]],4,TME[[#All],[Large Provider Entity Code]],AR47)/AT47,"NA")</f>
        <v>NA</v>
      </c>
      <c r="AV47" s="152" t="str">
        <f>IFERROR(SUMIFS(TME[[#All],[Total Truncated Claims Spending]],TME[[#All],[Reporting Year]],2020,TME[[#All],[Insurance Category Code]],4,TME[[#All],[Large Provider Entity Code]],AR47)/AT47,"NA")</f>
        <v>NA</v>
      </c>
      <c r="AW47" s="152" t="str">
        <f>IFERROR(SUMIFS(TME[[#All],[Total Non-Claims Spending]],TME[[#All],[Reporting Year]],2020,TME[[#All],[Insurance Category Code]],4,TME[[#All],[Large Provider Entity Code]],AR47)/AT47,"NA")</f>
        <v>NA</v>
      </c>
      <c r="AX47" s="152" t="str">
        <f>IFERROR(SUMIFS(TME[[#All],[Total Non-Truncated Claims and Non-Claims Spending]],TME[[#All],[Reporting Year]],2020,TME[[#All],[Insurance Category Code]],4,TME[[#All],[Large Provider Entity Code]],AR47)/AT47,"NA")</f>
        <v>NA</v>
      </c>
      <c r="AY47" s="152" t="str">
        <f>IFERROR(SUMIFS(TME[[#All],[Truncated Total Expenses (Total Truncated Claims Expenses + Non-Claims Expenses)]],TME[[#All],[Reporting Year]],2020,TME[[#All],[Insurance Category Code]],4,TME[[#All],[Large Provider Entity Code]],AR47)/AT47,"NA")</f>
        <v>NA</v>
      </c>
      <c r="AZ47" s="141">
        <f>SUMIFS(TME[[#All],[Member Months]],TME[[#All],[Reporting Year]],2021,TME[[#All],[Insurance Category Code]],4,TME[[#All],[Large Provider Entity Code]],AR47)</f>
        <v>0</v>
      </c>
      <c r="BA47" s="152" t="str">
        <f>IFERROR(SUMIFS(TME[[#All],[Total Non-Truncated Claims Spending]],TME[[#All],[Reporting Year]],2021,TME[[#All],[Insurance Category Code]],4,TME[[#All],[Large Provider Entity Code]],AR47)/AZ47,"NA")</f>
        <v>NA</v>
      </c>
      <c r="BB47" s="152" t="str">
        <f>IFERROR(SUMIFS(TME[[#All],[Total Truncated Claims Spending]],TME[[#All],[Reporting Year]],2021,TME[[#All],[Insurance Category Code]],4,TME[[#All],[Large Provider Entity Code]],AR47)/AZ47,"NA")</f>
        <v>NA</v>
      </c>
      <c r="BC47" s="152" t="str">
        <f>IFERROR(SUMIFS(TME[[#All],[Total Non-Claims Spending]],TME[[#All],[Reporting Year]],2021,TME[[#All],[Insurance Category Code]],4,TME[[#All],[Large Provider Entity Code]],AR47)/AZ47,"NA")</f>
        <v>NA</v>
      </c>
      <c r="BD47" s="152" t="str">
        <f>IFERROR(SUMIFS(TME[[#All],[Total Non-Truncated Claims and Non-Claims Spending]],TME[[#All],[Reporting Year]],2021,TME[[#All],[Insurance Category Code]],4,TME[[#All],[Large Provider Entity Code]],AR47)/AZ47,"NA")</f>
        <v>NA</v>
      </c>
      <c r="BE47" s="152" t="str">
        <f>IFERROR(SUMIFS(TME[[#All],[Truncated Total Expenses (Total Truncated Claims Expenses + Non-Claims Expenses)]],TME[[#All],[Reporting Year]],2021,TME[[#All],[Insurance Category Code]],4,TME[[#All],[Large Provider Entity Code]],AR47)/AZ47,"NA")</f>
        <v>NA</v>
      </c>
      <c r="BF47" s="154" t="str">
        <f t="shared" si="87"/>
        <v>NA</v>
      </c>
      <c r="BG47" s="154" t="str">
        <f t="shared" si="88"/>
        <v>NA</v>
      </c>
      <c r="BH47" s="154" t="str">
        <f t="shared" si="89"/>
        <v>NA</v>
      </c>
      <c r="BI47" s="154" t="str">
        <f t="shared" si="90"/>
        <v>NA</v>
      </c>
      <c r="BJ47" s="154" t="str">
        <f t="shared" si="91"/>
        <v>NA</v>
      </c>
      <c r="BK47" s="154" t="str">
        <f t="shared" si="92"/>
        <v>NA</v>
      </c>
    </row>
    <row r="48" spans="2:63" x14ac:dyDescent="0.35">
      <c r="B48" s="123">
        <v>103</v>
      </c>
      <c r="C48" s="103" t="s">
        <v>248</v>
      </c>
      <c r="D48" s="141">
        <f>SUMIFS(TME[[#All],[Member Months]],TME[[#All],[Reporting Year]],2018,TME[[#All],[Insurance Category Code]],4,TME[[#All],[Large Provider Entity Code]],B48)</f>
        <v>0</v>
      </c>
      <c r="E48" s="152" t="str">
        <f>IFERROR(SUMIFS(TME[[#All],[Total Non-Truncated Claims Spending]],TME[[#All],[Reporting Year]],2018,TME[[#All],[Insurance Category Code]],4,TME[[#All],[Large Provider Entity Code]],B48)/D48,"NA")</f>
        <v>NA</v>
      </c>
      <c r="F48" s="152" t="str">
        <f>IFERROR(SUMIFS(TME[[#All],[Total Truncated Claims Spending]],TME[[#All],[Reporting Year]],2018,TME[[#All],[Insurance Category Code]],4,TME[[#All],[Large Provider Entity Code]],B48)/D48,"NA")</f>
        <v>NA</v>
      </c>
      <c r="G48" s="152" t="str">
        <f>IFERROR(SUMIFS(TME[[#All],[Total Non-Claims Spending]],TME[[#All],[Reporting Year]],2018,TME[[#All],[Insurance Category Code]],4,TME[[#All],[Large Provider Entity Code]],B48)/D48,"NA")</f>
        <v>NA</v>
      </c>
      <c r="H48" s="152" t="str">
        <f>IFERROR(SUMIFS(TME[[#All],[Total Non-Truncated Claims and Non-Claims Spending]],TME[[#All],[Reporting Year]],2018,TME[[#All],[Insurance Category Code]],4,TME[[#All],[Large Provider Entity Code]],B48)/D48,"NA")</f>
        <v>NA</v>
      </c>
      <c r="I48" s="152" t="str">
        <f>IFERROR(SUMIFS(TME[[#All],[Truncated Total Expenses (Total Truncated Claims Expenses + Non-Claims Expenses)]],TME[[#All],[Reporting Year]],2018,TME[[#All],[Insurance Category Code]],4,TME[[#All],[Large Provider Entity Code]],B48)/D48,"NA")</f>
        <v>NA</v>
      </c>
      <c r="J48" s="141">
        <f>SUMIFS(TME[[#All],[Member Months]],TME[[#All],[Reporting Year]],2019,TME[[#All],[Insurance Category Code]],4,TME[[#All],[Large Provider Entity Code]],B48)</f>
        <v>0</v>
      </c>
      <c r="K48" s="152" t="str">
        <f>IFERROR(SUMIFS(TME[[#All],[Total Non-Truncated Claims Spending]],TME[[#All],[Reporting Year]],2019,TME[[#All],[Insurance Category Code]],4,TME[[#All],[Large Provider Entity Code]],B48)/J48,"NA")</f>
        <v>NA</v>
      </c>
      <c r="L48" s="152" t="str">
        <f>IFERROR(SUMIFS(TME[[#All],[Total Truncated Claims Spending]],TME[[#All],[Reporting Year]],2019,TME[[#All],[Insurance Category Code]],4,TME[[#All],[Large Provider Entity Code]],B48)/J48,"NA")</f>
        <v>NA</v>
      </c>
      <c r="M48" s="152" t="str">
        <f>IFERROR(SUMIFS(TME[[#All],[Total Non-Claims Spending]],TME[[#All],[Reporting Year]],2019,TME[[#All],[Insurance Category Code]],4,TME[[#All],[Large Provider Entity Code]],B48)/J48,"NA")</f>
        <v>NA</v>
      </c>
      <c r="N48" s="152" t="str">
        <f>IFERROR(SUMIFS(TME[[#All],[Total Non-Truncated Claims and Non-Claims Spending]],TME[[#All],[Reporting Year]],2019,TME[[#All],[Insurance Category Code]],4,TME[[#All],[Large Provider Entity Code]],B48)/J48,"NA")</f>
        <v>NA</v>
      </c>
      <c r="O48" s="152" t="str">
        <f>IFERROR(SUMIFS(TME[[#All],[Truncated Total Expenses (Total Truncated Claims Expenses + Non-Claims Expenses)]],TME[[#All],[Reporting Year]],2019,TME[[#All],[Insurance Category Code]],4,TME[[#All],[Large Provider Entity Code]],B48)/J48,"NA")</f>
        <v>NA</v>
      </c>
      <c r="P48" s="154" t="str">
        <f t="shared" si="75"/>
        <v>NA</v>
      </c>
      <c r="Q48" s="154" t="str">
        <f t="shared" si="76"/>
        <v>NA</v>
      </c>
      <c r="R48" s="154" t="str">
        <f t="shared" si="77"/>
        <v>NA</v>
      </c>
      <c r="S48" s="154" t="str">
        <f t="shared" si="78"/>
        <v>NA</v>
      </c>
      <c r="T48" s="154" t="str">
        <f t="shared" si="79"/>
        <v>NA</v>
      </c>
      <c r="U48" s="154" t="str">
        <f t="shared" si="80"/>
        <v>NA</v>
      </c>
      <c r="W48" s="123">
        <v>103</v>
      </c>
      <c r="X48" s="103" t="s">
        <v>248</v>
      </c>
      <c r="Y48" s="141">
        <f>SUMIFS(TME[[#All],[Member Months]],TME[[#All],[Reporting Year]],2019,TME[[#All],[Insurance Category Code]],4,TME[[#All],[Large Provider Entity Code]],W48)</f>
        <v>0</v>
      </c>
      <c r="Z48" s="152" t="str">
        <f>IFERROR(SUMIFS(TME[[#All],[Total Non-Truncated Claims Spending]],TME[[#All],[Reporting Year]],2019,TME[[#All],[Insurance Category Code]],4,TME[[#All],[Large Provider Entity Code]],W48)/Y48,"NA")</f>
        <v>NA</v>
      </c>
      <c r="AA48" s="152" t="str">
        <f>IFERROR(SUMIFS(TME[[#All],[Total Truncated Claims Spending]],TME[[#All],[Reporting Year]],2019,TME[[#All],[Insurance Category Code]],4,TME[[#All],[Large Provider Entity Code]],W48)/Y48,"NA")</f>
        <v>NA</v>
      </c>
      <c r="AB48" s="152" t="str">
        <f>IFERROR(SUMIFS(TME[[#All],[Total Non-Claims Spending]],TME[[#All],[Reporting Year]],2019,TME[[#All],[Insurance Category Code]],4,TME[[#All],[Large Provider Entity Code]],W48)/Y48,"NA")</f>
        <v>NA</v>
      </c>
      <c r="AC48" s="152" t="str">
        <f>IFERROR(SUMIFS(TME[[#All],[Total Non-Truncated Claims and Non-Claims Spending]],TME[[#All],[Reporting Year]],2019,TME[[#All],[Insurance Category Code]],4,TME[[#All],[Large Provider Entity Code]],W48)/Y48,"NA")</f>
        <v>NA</v>
      </c>
      <c r="AD48" s="152" t="str">
        <f>IFERROR(SUMIFS(TME[[#All],[Truncated Total Expenses (Total Truncated Claims Expenses + Non-Claims Expenses)]],TME[[#All],[Reporting Year]],2019,TME[[#All],[Insurance Category Code]],4,TME[[#All],[Large Provider Entity Code]],W48)/Y48,"NA")</f>
        <v>NA</v>
      </c>
      <c r="AE48" s="141">
        <f>SUMIFS(TME[[#All],[Member Months]],TME[[#All],[Reporting Year]],2020,TME[[#All],[Insurance Category Code]],4,TME[[#All],[Large Provider Entity Code]],W48)</f>
        <v>0</v>
      </c>
      <c r="AF48" s="152" t="str">
        <f>IFERROR(SUMIFS(TME[[#All],[Total Non-Truncated Claims Spending]],TME[[#All],[Reporting Year]],2020,TME[[#All],[Insurance Category Code]],4,TME[[#All],[Large Provider Entity Code]],W48)/AE48,"NA")</f>
        <v>NA</v>
      </c>
      <c r="AG48" s="152" t="str">
        <f>IFERROR(SUMIFS(TME[[#All],[Total Truncated Claims Spending]],TME[[#All],[Reporting Year]],2020,TME[[#All],[Insurance Category Code]],4,TME[[#All],[Large Provider Entity Code]],W48)/AE48,"NA")</f>
        <v>NA</v>
      </c>
      <c r="AH48" s="152" t="str">
        <f>IFERROR(SUMIFS(TME[[#All],[Total Non-Claims Spending]],TME[[#All],[Reporting Year]],2020,TME[[#All],[Insurance Category Code]],4,TME[[#All],[Large Provider Entity Code]],W48)/AE48,"NA")</f>
        <v>NA</v>
      </c>
      <c r="AI48" s="152" t="str">
        <f>IFERROR(SUMIFS(TME[[#All],[Total Non-Truncated Claims and Non-Claims Spending]],TME[[#All],[Reporting Year]],2020,TME[[#All],[Insurance Category Code]],4,TME[[#All],[Large Provider Entity Code]],W48)/AE48,"NA")</f>
        <v>NA</v>
      </c>
      <c r="AJ48" s="152" t="str">
        <f>IFERROR(SUMIFS(TME[[#All],[Truncated Total Expenses (Total Truncated Claims Expenses + Non-Claims Expenses)]],TME[[#All],[Reporting Year]],2020,TME[[#All],[Insurance Category Code]],4,TME[[#All],[Large Provider Entity Code]],W48)/AE48,"NA")</f>
        <v>NA</v>
      </c>
      <c r="AK48" s="154" t="str">
        <f t="shared" si="81"/>
        <v>NA</v>
      </c>
      <c r="AL48" s="154" t="str">
        <f t="shared" si="82"/>
        <v>NA</v>
      </c>
      <c r="AM48" s="154" t="str">
        <f t="shared" si="83"/>
        <v>NA</v>
      </c>
      <c r="AN48" s="154" t="str">
        <f t="shared" si="84"/>
        <v>NA</v>
      </c>
      <c r="AO48" s="154" t="str">
        <f t="shared" si="85"/>
        <v>NA</v>
      </c>
      <c r="AP48" s="154" t="str">
        <f t="shared" si="86"/>
        <v>NA</v>
      </c>
      <c r="AR48" s="123">
        <v>103</v>
      </c>
      <c r="AS48" s="103" t="s">
        <v>248</v>
      </c>
      <c r="AT48" s="141">
        <f>SUMIFS(TME[[#All],[Member Months]],TME[[#All],[Reporting Year]],2020,TME[[#All],[Insurance Category Code]],4,TME[[#All],[Large Provider Entity Code]],AR48)</f>
        <v>0</v>
      </c>
      <c r="AU48" s="152" t="str">
        <f>IFERROR(SUMIFS(TME[[#All],[Total Non-Truncated Claims Spending]],TME[[#All],[Reporting Year]],2020,TME[[#All],[Insurance Category Code]],4,TME[[#All],[Large Provider Entity Code]],AR48)/AT48,"NA")</f>
        <v>NA</v>
      </c>
      <c r="AV48" s="152" t="str">
        <f>IFERROR(SUMIFS(TME[[#All],[Total Truncated Claims Spending]],TME[[#All],[Reporting Year]],2020,TME[[#All],[Insurance Category Code]],4,TME[[#All],[Large Provider Entity Code]],AR48)/AT48,"NA")</f>
        <v>NA</v>
      </c>
      <c r="AW48" s="152" t="str">
        <f>IFERROR(SUMIFS(TME[[#All],[Total Non-Claims Spending]],TME[[#All],[Reporting Year]],2020,TME[[#All],[Insurance Category Code]],4,TME[[#All],[Large Provider Entity Code]],AR48)/AT48,"NA")</f>
        <v>NA</v>
      </c>
      <c r="AX48" s="152" t="str">
        <f>IFERROR(SUMIFS(TME[[#All],[Total Non-Truncated Claims and Non-Claims Spending]],TME[[#All],[Reporting Year]],2020,TME[[#All],[Insurance Category Code]],4,TME[[#All],[Large Provider Entity Code]],AR48)/AT48,"NA")</f>
        <v>NA</v>
      </c>
      <c r="AY48" s="152" t="str">
        <f>IFERROR(SUMIFS(TME[[#All],[Truncated Total Expenses (Total Truncated Claims Expenses + Non-Claims Expenses)]],TME[[#All],[Reporting Year]],2020,TME[[#All],[Insurance Category Code]],4,TME[[#All],[Large Provider Entity Code]],AR48)/AT48,"NA")</f>
        <v>NA</v>
      </c>
      <c r="AZ48" s="141">
        <f>SUMIFS(TME[[#All],[Member Months]],TME[[#All],[Reporting Year]],2021,TME[[#All],[Insurance Category Code]],4,TME[[#All],[Large Provider Entity Code]],AR48)</f>
        <v>0</v>
      </c>
      <c r="BA48" s="152" t="str">
        <f>IFERROR(SUMIFS(TME[[#All],[Total Non-Truncated Claims Spending]],TME[[#All],[Reporting Year]],2021,TME[[#All],[Insurance Category Code]],4,TME[[#All],[Large Provider Entity Code]],AR48)/AZ48,"NA")</f>
        <v>NA</v>
      </c>
      <c r="BB48" s="152" t="str">
        <f>IFERROR(SUMIFS(TME[[#All],[Total Truncated Claims Spending]],TME[[#All],[Reporting Year]],2021,TME[[#All],[Insurance Category Code]],4,TME[[#All],[Large Provider Entity Code]],AR48)/AZ48,"NA")</f>
        <v>NA</v>
      </c>
      <c r="BC48" s="152" t="str">
        <f>IFERROR(SUMIFS(TME[[#All],[Total Non-Claims Spending]],TME[[#All],[Reporting Year]],2021,TME[[#All],[Insurance Category Code]],4,TME[[#All],[Large Provider Entity Code]],AR48)/AZ48,"NA")</f>
        <v>NA</v>
      </c>
      <c r="BD48" s="152" t="str">
        <f>IFERROR(SUMIFS(TME[[#All],[Total Non-Truncated Claims and Non-Claims Spending]],TME[[#All],[Reporting Year]],2021,TME[[#All],[Insurance Category Code]],4,TME[[#All],[Large Provider Entity Code]],AR48)/AZ48,"NA")</f>
        <v>NA</v>
      </c>
      <c r="BE48" s="152" t="str">
        <f>IFERROR(SUMIFS(TME[[#All],[Truncated Total Expenses (Total Truncated Claims Expenses + Non-Claims Expenses)]],TME[[#All],[Reporting Year]],2021,TME[[#All],[Insurance Category Code]],4,TME[[#All],[Large Provider Entity Code]],AR48)/AZ48,"NA")</f>
        <v>NA</v>
      </c>
      <c r="BF48" s="154" t="str">
        <f t="shared" si="87"/>
        <v>NA</v>
      </c>
      <c r="BG48" s="154" t="str">
        <f t="shared" si="88"/>
        <v>NA</v>
      </c>
      <c r="BH48" s="154" t="str">
        <f t="shared" si="89"/>
        <v>NA</v>
      </c>
      <c r="BI48" s="154" t="str">
        <f t="shared" si="90"/>
        <v>NA</v>
      </c>
      <c r="BJ48" s="154" t="str">
        <f t="shared" si="91"/>
        <v>NA</v>
      </c>
      <c r="BK48" s="154" t="str">
        <f t="shared" si="92"/>
        <v>NA</v>
      </c>
    </row>
    <row r="49" spans="2:63" x14ac:dyDescent="0.35">
      <c r="B49" s="123">
        <v>104</v>
      </c>
      <c r="C49" s="103" t="s">
        <v>249</v>
      </c>
      <c r="D49" s="141">
        <f>SUMIFS(TME[[#All],[Member Months]],TME[[#All],[Reporting Year]],2018,TME[[#All],[Insurance Category Code]],4,TME[[#All],[Large Provider Entity Code]],B49)</f>
        <v>0</v>
      </c>
      <c r="E49" s="152" t="str">
        <f>IFERROR(SUMIFS(TME[[#All],[Total Non-Truncated Claims Spending]],TME[[#All],[Reporting Year]],2018,TME[[#All],[Insurance Category Code]],4,TME[[#All],[Large Provider Entity Code]],B49)/D49,"NA")</f>
        <v>NA</v>
      </c>
      <c r="F49" s="152" t="str">
        <f>IFERROR(SUMIFS(TME[[#All],[Total Truncated Claims Spending]],TME[[#All],[Reporting Year]],2018,TME[[#All],[Insurance Category Code]],4,TME[[#All],[Large Provider Entity Code]],B49)/D49,"NA")</f>
        <v>NA</v>
      </c>
      <c r="G49" s="152" t="str">
        <f>IFERROR(SUMIFS(TME[[#All],[Total Non-Claims Spending]],TME[[#All],[Reporting Year]],2018,TME[[#All],[Insurance Category Code]],4,TME[[#All],[Large Provider Entity Code]],B49)/D49,"NA")</f>
        <v>NA</v>
      </c>
      <c r="H49" s="152" t="str">
        <f>IFERROR(SUMIFS(TME[[#All],[Total Non-Truncated Claims and Non-Claims Spending]],TME[[#All],[Reporting Year]],2018,TME[[#All],[Insurance Category Code]],4,TME[[#All],[Large Provider Entity Code]],B49)/D49,"NA")</f>
        <v>NA</v>
      </c>
      <c r="I49" s="152" t="str">
        <f>IFERROR(SUMIFS(TME[[#All],[Truncated Total Expenses (Total Truncated Claims Expenses + Non-Claims Expenses)]],TME[[#All],[Reporting Year]],2018,TME[[#All],[Insurance Category Code]],4,TME[[#All],[Large Provider Entity Code]],B49)/D49,"NA")</f>
        <v>NA</v>
      </c>
      <c r="J49" s="141">
        <f>SUMIFS(TME[[#All],[Member Months]],TME[[#All],[Reporting Year]],2019,TME[[#All],[Insurance Category Code]],4,TME[[#All],[Large Provider Entity Code]],B49)</f>
        <v>0</v>
      </c>
      <c r="K49" s="152" t="str">
        <f>IFERROR(SUMIFS(TME[[#All],[Total Non-Truncated Claims Spending]],TME[[#All],[Reporting Year]],2019,TME[[#All],[Insurance Category Code]],4,TME[[#All],[Large Provider Entity Code]],B49)/J49,"NA")</f>
        <v>NA</v>
      </c>
      <c r="L49" s="152" t="str">
        <f>IFERROR(SUMIFS(TME[[#All],[Total Truncated Claims Spending]],TME[[#All],[Reporting Year]],2019,TME[[#All],[Insurance Category Code]],4,TME[[#All],[Large Provider Entity Code]],B49)/J49,"NA")</f>
        <v>NA</v>
      </c>
      <c r="M49" s="152" t="str">
        <f>IFERROR(SUMIFS(TME[[#All],[Total Non-Claims Spending]],TME[[#All],[Reporting Year]],2019,TME[[#All],[Insurance Category Code]],4,TME[[#All],[Large Provider Entity Code]],B49)/J49,"NA")</f>
        <v>NA</v>
      </c>
      <c r="N49" s="152" t="str">
        <f>IFERROR(SUMIFS(TME[[#All],[Total Non-Truncated Claims and Non-Claims Spending]],TME[[#All],[Reporting Year]],2019,TME[[#All],[Insurance Category Code]],4,TME[[#All],[Large Provider Entity Code]],B49)/J49,"NA")</f>
        <v>NA</v>
      </c>
      <c r="O49" s="152" t="str">
        <f>IFERROR(SUMIFS(TME[[#All],[Truncated Total Expenses (Total Truncated Claims Expenses + Non-Claims Expenses)]],TME[[#All],[Reporting Year]],2019,TME[[#All],[Insurance Category Code]],4,TME[[#All],[Large Provider Entity Code]],B49)/J49,"NA")</f>
        <v>NA</v>
      </c>
      <c r="P49" s="154" t="str">
        <f t="shared" si="75"/>
        <v>NA</v>
      </c>
      <c r="Q49" s="154" t="str">
        <f t="shared" si="76"/>
        <v>NA</v>
      </c>
      <c r="R49" s="154" t="str">
        <f t="shared" si="77"/>
        <v>NA</v>
      </c>
      <c r="S49" s="154" t="str">
        <f t="shared" si="78"/>
        <v>NA</v>
      </c>
      <c r="T49" s="154" t="str">
        <f t="shared" si="79"/>
        <v>NA</v>
      </c>
      <c r="U49" s="154" t="str">
        <f t="shared" si="80"/>
        <v>NA</v>
      </c>
      <c r="W49" s="123">
        <v>104</v>
      </c>
      <c r="X49" s="103" t="s">
        <v>249</v>
      </c>
      <c r="Y49" s="141">
        <f>SUMIFS(TME[[#All],[Member Months]],TME[[#All],[Reporting Year]],2019,TME[[#All],[Insurance Category Code]],4,TME[[#All],[Large Provider Entity Code]],W49)</f>
        <v>0</v>
      </c>
      <c r="Z49" s="152" t="str">
        <f>IFERROR(SUMIFS(TME[[#All],[Total Non-Truncated Claims Spending]],TME[[#All],[Reporting Year]],2019,TME[[#All],[Insurance Category Code]],4,TME[[#All],[Large Provider Entity Code]],W49)/Y49,"NA")</f>
        <v>NA</v>
      </c>
      <c r="AA49" s="152" t="str">
        <f>IFERROR(SUMIFS(TME[[#All],[Total Truncated Claims Spending]],TME[[#All],[Reporting Year]],2019,TME[[#All],[Insurance Category Code]],4,TME[[#All],[Large Provider Entity Code]],W49)/Y49,"NA")</f>
        <v>NA</v>
      </c>
      <c r="AB49" s="152" t="str">
        <f>IFERROR(SUMIFS(TME[[#All],[Total Non-Claims Spending]],TME[[#All],[Reporting Year]],2019,TME[[#All],[Insurance Category Code]],4,TME[[#All],[Large Provider Entity Code]],W49)/Y49,"NA")</f>
        <v>NA</v>
      </c>
      <c r="AC49" s="152" t="str">
        <f>IFERROR(SUMIFS(TME[[#All],[Total Non-Truncated Claims and Non-Claims Spending]],TME[[#All],[Reporting Year]],2019,TME[[#All],[Insurance Category Code]],4,TME[[#All],[Large Provider Entity Code]],W49)/Y49,"NA")</f>
        <v>NA</v>
      </c>
      <c r="AD49" s="152" t="str">
        <f>IFERROR(SUMIFS(TME[[#All],[Truncated Total Expenses (Total Truncated Claims Expenses + Non-Claims Expenses)]],TME[[#All],[Reporting Year]],2019,TME[[#All],[Insurance Category Code]],4,TME[[#All],[Large Provider Entity Code]],W49)/Y49,"NA")</f>
        <v>NA</v>
      </c>
      <c r="AE49" s="141">
        <f>SUMIFS(TME[[#All],[Member Months]],TME[[#All],[Reporting Year]],2020,TME[[#All],[Insurance Category Code]],4,TME[[#All],[Large Provider Entity Code]],W49)</f>
        <v>0</v>
      </c>
      <c r="AF49" s="152" t="str">
        <f>IFERROR(SUMIFS(TME[[#All],[Total Non-Truncated Claims Spending]],TME[[#All],[Reporting Year]],2020,TME[[#All],[Insurance Category Code]],4,TME[[#All],[Large Provider Entity Code]],W49)/AE49,"NA")</f>
        <v>NA</v>
      </c>
      <c r="AG49" s="152" t="str">
        <f>IFERROR(SUMIFS(TME[[#All],[Total Truncated Claims Spending]],TME[[#All],[Reporting Year]],2020,TME[[#All],[Insurance Category Code]],4,TME[[#All],[Large Provider Entity Code]],W49)/AE49,"NA")</f>
        <v>NA</v>
      </c>
      <c r="AH49" s="152" t="str">
        <f>IFERROR(SUMIFS(TME[[#All],[Total Non-Claims Spending]],TME[[#All],[Reporting Year]],2020,TME[[#All],[Insurance Category Code]],4,TME[[#All],[Large Provider Entity Code]],W49)/AE49,"NA")</f>
        <v>NA</v>
      </c>
      <c r="AI49" s="152" t="str">
        <f>IFERROR(SUMIFS(TME[[#All],[Total Non-Truncated Claims and Non-Claims Spending]],TME[[#All],[Reporting Year]],2020,TME[[#All],[Insurance Category Code]],4,TME[[#All],[Large Provider Entity Code]],W49)/AE49,"NA")</f>
        <v>NA</v>
      </c>
      <c r="AJ49" s="152" t="str">
        <f>IFERROR(SUMIFS(TME[[#All],[Truncated Total Expenses (Total Truncated Claims Expenses + Non-Claims Expenses)]],TME[[#All],[Reporting Year]],2020,TME[[#All],[Insurance Category Code]],4,TME[[#All],[Large Provider Entity Code]],W49)/AE49,"NA")</f>
        <v>NA</v>
      </c>
      <c r="AK49" s="154" t="str">
        <f t="shared" si="81"/>
        <v>NA</v>
      </c>
      <c r="AL49" s="154" t="str">
        <f t="shared" si="82"/>
        <v>NA</v>
      </c>
      <c r="AM49" s="154" t="str">
        <f t="shared" si="83"/>
        <v>NA</v>
      </c>
      <c r="AN49" s="154" t="str">
        <f t="shared" si="84"/>
        <v>NA</v>
      </c>
      <c r="AO49" s="154" t="str">
        <f t="shared" si="85"/>
        <v>NA</v>
      </c>
      <c r="AP49" s="154" t="str">
        <f t="shared" si="86"/>
        <v>NA</v>
      </c>
      <c r="AR49" s="123">
        <v>104</v>
      </c>
      <c r="AS49" s="103" t="s">
        <v>249</v>
      </c>
      <c r="AT49" s="141">
        <f>SUMIFS(TME[[#All],[Member Months]],TME[[#All],[Reporting Year]],2020,TME[[#All],[Insurance Category Code]],4,TME[[#All],[Large Provider Entity Code]],AR49)</f>
        <v>0</v>
      </c>
      <c r="AU49" s="152" t="str">
        <f>IFERROR(SUMIFS(TME[[#All],[Total Non-Truncated Claims Spending]],TME[[#All],[Reporting Year]],2020,TME[[#All],[Insurance Category Code]],4,TME[[#All],[Large Provider Entity Code]],AR49)/AT49,"NA")</f>
        <v>NA</v>
      </c>
      <c r="AV49" s="152" t="str">
        <f>IFERROR(SUMIFS(TME[[#All],[Total Truncated Claims Spending]],TME[[#All],[Reporting Year]],2020,TME[[#All],[Insurance Category Code]],4,TME[[#All],[Large Provider Entity Code]],AR49)/AT49,"NA")</f>
        <v>NA</v>
      </c>
      <c r="AW49" s="152" t="str">
        <f>IFERROR(SUMIFS(TME[[#All],[Total Non-Claims Spending]],TME[[#All],[Reporting Year]],2020,TME[[#All],[Insurance Category Code]],4,TME[[#All],[Large Provider Entity Code]],AR49)/AT49,"NA")</f>
        <v>NA</v>
      </c>
      <c r="AX49" s="152" t="str">
        <f>IFERROR(SUMIFS(TME[[#All],[Total Non-Truncated Claims and Non-Claims Spending]],TME[[#All],[Reporting Year]],2020,TME[[#All],[Insurance Category Code]],4,TME[[#All],[Large Provider Entity Code]],AR49)/AT49,"NA")</f>
        <v>NA</v>
      </c>
      <c r="AY49" s="152" t="str">
        <f>IFERROR(SUMIFS(TME[[#All],[Truncated Total Expenses (Total Truncated Claims Expenses + Non-Claims Expenses)]],TME[[#All],[Reporting Year]],2020,TME[[#All],[Insurance Category Code]],4,TME[[#All],[Large Provider Entity Code]],AR49)/AT49,"NA")</f>
        <v>NA</v>
      </c>
      <c r="AZ49" s="141">
        <f>SUMIFS(TME[[#All],[Member Months]],TME[[#All],[Reporting Year]],2021,TME[[#All],[Insurance Category Code]],4,TME[[#All],[Large Provider Entity Code]],AR49)</f>
        <v>0</v>
      </c>
      <c r="BA49" s="152" t="str">
        <f>IFERROR(SUMIFS(TME[[#All],[Total Non-Truncated Claims Spending]],TME[[#All],[Reporting Year]],2021,TME[[#All],[Insurance Category Code]],4,TME[[#All],[Large Provider Entity Code]],AR49)/AZ49,"NA")</f>
        <v>NA</v>
      </c>
      <c r="BB49" s="152" t="str">
        <f>IFERROR(SUMIFS(TME[[#All],[Total Truncated Claims Spending]],TME[[#All],[Reporting Year]],2021,TME[[#All],[Insurance Category Code]],4,TME[[#All],[Large Provider Entity Code]],AR49)/AZ49,"NA")</f>
        <v>NA</v>
      </c>
      <c r="BC49" s="152" t="str">
        <f>IFERROR(SUMIFS(TME[[#All],[Total Non-Claims Spending]],TME[[#All],[Reporting Year]],2021,TME[[#All],[Insurance Category Code]],4,TME[[#All],[Large Provider Entity Code]],AR49)/AZ49,"NA")</f>
        <v>NA</v>
      </c>
      <c r="BD49" s="152" t="str">
        <f>IFERROR(SUMIFS(TME[[#All],[Total Non-Truncated Claims and Non-Claims Spending]],TME[[#All],[Reporting Year]],2021,TME[[#All],[Insurance Category Code]],4,TME[[#All],[Large Provider Entity Code]],AR49)/AZ49,"NA")</f>
        <v>NA</v>
      </c>
      <c r="BE49" s="152" t="str">
        <f>IFERROR(SUMIFS(TME[[#All],[Truncated Total Expenses (Total Truncated Claims Expenses + Non-Claims Expenses)]],TME[[#All],[Reporting Year]],2021,TME[[#All],[Insurance Category Code]],4,TME[[#All],[Large Provider Entity Code]],AR49)/AZ49,"NA")</f>
        <v>NA</v>
      </c>
      <c r="BF49" s="154" t="str">
        <f t="shared" si="87"/>
        <v>NA</v>
      </c>
      <c r="BG49" s="154" t="str">
        <f t="shared" si="88"/>
        <v>NA</v>
      </c>
      <c r="BH49" s="154" t="str">
        <f t="shared" si="89"/>
        <v>NA</v>
      </c>
      <c r="BI49" s="154" t="str">
        <f t="shared" si="90"/>
        <v>NA</v>
      </c>
      <c r="BJ49" s="154" t="str">
        <f t="shared" si="91"/>
        <v>NA</v>
      </c>
      <c r="BK49" s="154" t="str">
        <f t="shared" si="92"/>
        <v>NA</v>
      </c>
    </row>
    <row r="50" spans="2:63" x14ac:dyDescent="0.35">
      <c r="B50" s="123">
        <v>105</v>
      </c>
      <c r="C50" s="103" t="s">
        <v>293</v>
      </c>
      <c r="D50" s="141">
        <f>SUMIFS(TME[[#All],[Member Months]],TME[[#All],[Reporting Year]],2018,TME[[#All],[Insurance Category Code]],4,TME[[#All],[Large Provider Entity Code]],B50)</f>
        <v>0</v>
      </c>
      <c r="E50" s="152" t="str">
        <f>IFERROR(SUMIFS(TME[[#All],[Total Non-Truncated Claims Spending]],TME[[#All],[Reporting Year]],2018,TME[[#All],[Insurance Category Code]],4,TME[[#All],[Large Provider Entity Code]],B50)/D50,"NA")</f>
        <v>NA</v>
      </c>
      <c r="F50" s="152" t="str">
        <f>IFERROR(SUMIFS(TME[[#All],[Total Truncated Claims Spending]],TME[[#All],[Reporting Year]],2018,TME[[#All],[Insurance Category Code]],4,TME[[#All],[Large Provider Entity Code]],B50)/D50,"NA")</f>
        <v>NA</v>
      </c>
      <c r="G50" s="152" t="str">
        <f>IFERROR(SUMIFS(TME[[#All],[Total Non-Claims Spending]],TME[[#All],[Reporting Year]],2018,TME[[#All],[Insurance Category Code]],4,TME[[#All],[Large Provider Entity Code]],B50)/D50,"NA")</f>
        <v>NA</v>
      </c>
      <c r="H50" s="152" t="str">
        <f>IFERROR(SUMIFS(TME[[#All],[Total Non-Truncated Claims and Non-Claims Spending]],TME[[#All],[Reporting Year]],2018,TME[[#All],[Insurance Category Code]],4,TME[[#All],[Large Provider Entity Code]],B50)/D50,"NA")</f>
        <v>NA</v>
      </c>
      <c r="I50" s="152" t="str">
        <f>IFERROR(SUMIFS(TME[[#All],[Truncated Total Expenses (Total Truncated Claims Expenses + Non-Claims Expenses)]],TME[[#All],[Reporting Year]],2018,TME[[#All],[Insurance Category Code]],4,TME[[#All],[Large Provider Entity Code]],B50)/D50,"NA")</f>
        <v>NA</v>
      </c>
      <c r="J50" s="141">
        <f>SUMIFS(TME[[#All],[Member Months]],TME[[#All],[Reporting Year]],2019,TME[[#All],[Insurance Category Code]],4,TME[[#All],[Large Provider Entity Code]],B50)</f>
        <v>0</v>
      </c>
      <c r="K50" s="152" t="str">
        <f>IFERROR(SUMIFS(TME[[#All],[Total Non-Truncated Claims Spending]],TME[[#All],[Reporting Year]],2019,TME[[#All],[Insurance Category Code]],4,TME[[#All],[Large Provider Entity Code]],B50)/J50,"NA")</f>
        <v>NA</v>
      </c>
      <c r="L50" s="152" t="str">
        <f>IFERROR(SUMIFS(TME[[#All],[Total Truncated Claims Spending]],TME[[#All],[Reporting Year]],2019,TME[[#All],[Insurance Category Code]],4,TME[[#All],[Large Provider Entity Code]],B50)/J50,"NA")</f>
        <v>NA</v>
      </c>
      <c r="M50" s="152" t="str">
        <f>IFERROR(SUMIFS(TME[[#All],[Total Non-Claims Spending]],TME[[#All],[Reporting Year]],2019,TME[[#All],[Insurance Category Code]],4,TME[[#All],[Large Provider Entity Code]],B50)/J50,"NA")</f>
        <v>NA</v>
      </c>
      <c r="N50" s="152" t="str">
        <f>IFERROR(SUMIFS(TME[[#All],[Total Non-Truncated Claims and Non-Claims Spending]],TME[[#All],[Reporting Year]],2019,TME[[#All],[Insurance Category Code]],4,TME[[#All],[Large Provider Entity Code]],B50)/J50,"NA")</f>
        <v>NA</v>
      </c>
      <c r="O50" s="152" t="str">
        <f>IFERROR(SUMIFS(TME[[#All],[Truncated Total Expenses (Total Truncated Claims Expenses + Non-Claims Expenses)]],TME[[#All],[Reporting Year]],2019,TME[[#All],[Insurance Category Code]],4,TME[[#All],[Large Provider Entity Code]],B50)/J50,"NA")</f>
        <v>NA</v>
      </c>
      <c r="P50" s="154" t="str">
        <f t="shared" si="75"/>
        <v>NA</v>
      </c>
      <c r="Q50" s="154" t="str">
        <f t="shared" si="76"/>
        <v>NA</v>
      </c>
      <c r="R50" s="154" t="str">
        <f t="shared" si="77"/>
        <v>NA</v>
      </c>
      <c r="S50" s="154" t="str">
        <f t="shared" si="78"/>
        <v>NA</v>
      </c>
      <c r="T50" s="154" t="str">
        <f t="shared" si="79"/>
        <v>NA</v>
      </c>
      <c r="U50" s="154" t="str">
        <f t="shared" si="80"/>
        <v>NA</v>
      </c>
      <c r="W50" s="123">
        <v>105</v>
      </c>
      <c r="X50" s="103" t="s">
        <v>293</v>
      </c>
      <c r="Y50" s="141">
        <f>SUMIFS(TME[[#All],[Member Months]],TME[[#All],[Reporting Year]],2019,TME[[#All],[Insurance Category Code]],4,TME[[#All],[Large Provider Entity Code]],W50)</f>
        <v>0</v>
      </c>
      <c r="Z50" s="152" t="str">
        <f>IFERROR(SUMIFS(TME[[#All],[Total Non-Truncated Claims Spending]],TME[[#All],[Reporting Year]],2019,TME[[#All],[Insurance Category Code]],4,TME[[#All],[Large Provider Entity Code]],W50)/Y50,"NA")</f>
        <v>NA</v>
      </c>
      <c r="AA50" s="152" t="str">
        <f>IFERROR(SUMIFS(TME[[#All],[Total Truncated Claims Spending]],TME[[#All],[Reporting Year]],2019,TME[[#All],[Insurance Category Code]],4,TME[[#All],[Large Provider Entity Code]],W50)/Y50,"NA")</f>
        <v>NA</v>
      </c>
      <c r="AB50" s="152" t="str">
        <f>IFERROR(SUMIFS(TME[[#All],[Total Non-Claims Spending]],TME[[#All],[Reporting Year]],2019,TME[[#All],[Insurance Category Code]],4,TME[[#All],[Large Provider Entity Code]],W50)/Y50,"NA")</f>
        <v>NA</v>
      </c>
      <c r="AC50" s="152" t="str">
        <f>IFERROR(SUMIFS(TME[[#All],[Total Non-Truncated Claims and Non-Claims Spending]],TME[[#All],[Reporting Year]],2019,TME[[#All],[Insurance Category Code]],4,TME[[#All],[Large Provider Entity Code]],W50)/Y50,"NA")</f>
        <v>NA</v>
      </c>
      <c r="AD50" s="152" t="str">
        <f>IFERROR(SUMIFS(TME[[#All],[Truncated Total Expenses (Total Truncated Claims Expenses + Non-Claims Expenses)]],TME[[#All],[Reporting Year]],2019,TME[[#All],[Insurance Category Code]],4,TME[[#All],[Large Provider Entity Code]],W50)/Y50,"NA")</f>
        <v>NA</v>
      </c>
      <c r="AE50" s="141">
        <f>SUMIFS(TME[[#All],[Member Months]],TME[[#All],[Reporting Year]],2020,TME[[#All],[Insurance Category Code]],4,TME[[#All],[Large Provider Entity Code]],W50)</f>
        <v>0</v>
      </c>
      <c r="AF50" s="152" t="str">
        <f>IFERROR(SUMIFS(TME[[#All],[Total Non-Truncated Claims Spending]],TME[[#All],[Reporting Year]],2020,TME[[#All],[Insurance Category Code]],4,TME[[#All],[Large Provider Entity Code]],W50)/AE50,"NA")</f>
        <v>NA</v>
      </c>
      <c r="AG50" s="152" t="str">
        <f>IFERROR(SUMIFS(TME[[#All],[Total Truncated Claims Spending]],TME[[#All],[Reporting Year]],2020,TME[[#All],[Insurance Category Code]],4,TME[[#All],[Large Provider Entity Code]],W50)/AE50,"NA")</f>
        <v>NA</v>
      </c>
      <c r="AH50" s="152" t="str">
        <f>IFERROR(SUMIFS(TME[[#All],[Total Non-Claims Spending]],TME[[#All],[Reporting Year]],2020,TME[[#All],[Insurance Category Code]],4,TME[[#All],[Large Provider Entity Code]],W50)/AE50,"NA")</f>
        <v>NA</v>
      </c>
      <c r="AI50" s="152" t="str">
        <f>IFERROR(SUMIFS(TME[[#All],[Total Non-Truncated Claims and Non-Claims Spending]],TME[[#All],[Reporting Year]],2020,TME[[#All],[Insurance Category Code]],4,TME[[#All],[Large Provider Entity Code]],W50)/AE50,"NA")</f>
        <v>NA</v>
      </c>
      <c r="AJ50" s="152" t="str">
        <f>IFERROR(SUMIFS(TME[[#All],[Truncated Total Expenses (Total Truncated Claims Expenses + Non-Claims Expenses)]],TME[[#All],[Reporting Year]],2020,TME[[#All],[Insurance Category Code]],4,TME[[#All],[Large Provider Entity Code]],W50)/AE50,"NA")</f>
        <v>NA</v>
      </c>
      <c r="AK50" s="154" t="str">
        <f t="shared" si="81"/>
        <v>NA</v>
      </c>
      <c r="AL50" s="154" t="str">
        <f t="shared" si="82"/>
        <v>NA</v>
      </c>
      <c r="AM50" s="154" t="str">
        <f t="shared" si="83"/>
        <v>NA</v>
      </c>
      <c r="AN50" s="154" t="str">
        <f t="shared" si="84"/>
        <v>NA</v>
      </c>
      <c r="AO50" s="154" t="str">
        <f t="shared" si="85"/>
        <v>NA</v>
      </c>
      <c r="AP50" s="154" t="str">
        <f t="shared" si="86"/>
        <v>NA</v>
      </c>
      <c r="AR50" s="123">
        <v>105</v>
      </c>
      <c r="AS50" s="103" t="s">
        <v>293</v>
      </c>
      <c r="AT50" s="141">
        <f>SUMIFS(TME[[#All],[Member Months]],TME[[#All],[Reporting Year]],2020,TME[[#All],[Insurance Category Code]],4,TME[[#All],[Large Provider Entity Code]],AR50)</f>
        <v>0</v>
      </c>
      <c r="AU50" s="152" t="str">
        <f>IFERROR(SUMIFS(TME[[#All],[Total Non-Truncated Claims Spending]],TME[[#All],[Reporting Year]],2020,TME[[#All],[Insurance Category Code]],4,TME[[#All],[Large Provider Entity Code]],AR50)/AT50,"NA")</f>
        <v>NA</v>
      </c>
      <c r="AV50" s="152" t="str">
        <f>IFERROR(SUMIFS(TME[[#All],[Total Truncated Claims Spending]],TME[[#All],[Reporting Year]],2020,TME[[#All],[Insurance Category Code]],4,TME[[#All],[Large Provider Entity Code]],AR50)/AT50,"NA")</f>
        <v>NA</v>
      </c>
      <c r="AW50" s="152" t="str">
        <f>IFERROR(SUMIFS(TME[[#All],[Total Non-Claims Spending]],TME[[#All],[Reporting Year]],2020,TME[[#All],[Insurance Category Code]],4,TME[[#All],[Large Provider Entity Code]],AR50)/AT50,"NA")</f>
        <v>NA</v>
      </c>
      <c r="AX50" s="152" t="str">
        <f>IFERROR(SUMIFS(TME[[#All],[Total Non-Truncated Claims and Non-Claims Spending]],TME[[#All],[Reporting Year]],2020,TME[[#All],[Insurance Category Code]],4,TME[[#All],[Large Provider Entity Code]],AR50)/AT50,"NA")</f>
        <v>NA</v>
      </c>
      <c r="AY50" s="152" t="str">
        <f>IFERROR(SUMIFS(TME[[#All],[Truncated Total Expenses (Total Truncated Claims Expenses + Non-Claims Expenses)]],TME[[#All],[Reporting Year]],2020,TME[[#All],[Insurance Category Code]],4,TME[[#All],[Large Provider Entity Code]],AR50)/AT50,"NA")</f>
        <v>NA</v>
      </c>
      <c r="AZ50" s="141">
        <f>SUMIFS(TME[[#All],[Member Months]],TME[[#All],[Reporting Year]],2021,TME[[#All],[Insurance Category Code]],4,TME[[#All],[Large Provider Entity Code]],AR50)</f>
        <v>0</v>
      </c>
      <c r="BA50" s="152" t="str">
        <f>IFERROR(SUMIFS(TME[[#All],[Total Non-Truncated Claims Spending]],TME[[#All],[Reporting Year]],2021,TME[[#All],[Insurance Category Code]],4,TME[[#All],[Large Provider Entity Code]],AR50)/AZ50,"NA")</f>
        <v>NA</v>
      </c>
      <c r="BB50" s="152" t="str">
        <f>IFERROR(SUMIFS(TME[[#All],[Total Truncated Claims Spending]],TME[[#All],[Reporting Year]],2021,TME[[#All],[Insurance Category Code]],4,TME[[#All],[Large Provider Entity Code]],AR50)/AZ50,"NA")</f>
        <v>NA</v>
      </c>
      <c r="BC50" s="152" t="str">
        <f>IFERROR(SUMIFS(TME[[#All],[Total Non-Claims Spending]],TME[[#All],[Reporting Year]],2021,TME[[#All],[Insurance Category Code]],4,TME[[#All],[Large Provider Entity Code]],AR50)/AZ50,"NA")</f>
        <v>NA</v>
      </c>
      <c r="BD50" s="152" t="str">
        <f>IFERROR(SUMIFS(TME[[#All],[Total Non-Truncated Claims and Non-Claims Spending]],TME[[#All],[Reporting Year]],2021,TME[[#All],[Insurance Category Code]],4,TME[[#All],[Large Provider Entity Code]],AR50)/AZ50,"NA")</f>
        <v>NA</v>
      </c>
      <c r="BE50" s="152" t="str">
        <f>IFERROR(SUMIFS(TME[[#All],[Truncated Total Expenses (Total Truncated Claims Expenses + Non-Claims Expenses)]],TME[[#All],[Reporting Year]],2021,TME[[#All],[Insurance Category Code]],4,TME[[#All],[Large Provider Entity Code]],AR50)/AZ50,"NA")</f>
        <v>NA</v>
      </c>
      <c r="BF50" s="154" t="str">
        <f t="shared" si="87"/>
        <v>NA</v>
      </c>
      <c r="BG50" s="154" t="str">
        <f t="shared" si="88"/>
        <v>NA</v>
      </c>
      <c r="BH50" s="154" t="str">
        <f t="shared" si="89"/>
        <v>NA</v>
      </c>
      <c r="BI50" s="154" t="str">
        <f t="shared" si="90"/>
        <v>NA</v>
      </c>
      <c r="BJ50" s="154" t="str">
        <f t="shared" si="91"/>
        <v>NA</v>
      </c>
      <c r="BK50" s="154" t="str">
        <f t="shared" si="92"/>
        <v>NA</v>
      </c>
    </row>
    <row r="51" spans="2:63" x14ac:dyDescent="0.35">
      <c r="B51" s="123">
        <v>106</v>
      </c>
      <c r="C51" s="103" t="s">
        <v>250</v>
      </c>
      <c r="D51" s="141">
        <f>SUMIFS(TME[[#All],[Member Months]],TME[[#All],[Reporting Year]],2018,TME[[#All],[Insurance Category Code]],4,TME[[#All],[Large Provider Entity Code]],B51)</f>
        <v>0</v>
      </c>
      <c r="E51" s="152" t="str">
        <f>IFERROR(SUMIFS(TME[[#All],[Total Non-Truncated Claims Spending]],TME[[#All],[Reporting Year]],2018,TME[[#All],[Insurance Category Code]],4,TME[[#All],[Large Provider Entity Code]],B51)/D51,"NA")</f>
        <v>NA</v>
      </c>
      <c r="F51" s="152" t="str">
        <f>IFERROR(SUMIFS(TME[[#All],[Total Truncated Claims Spending]],TME[[#All],[Reporting Year]],2018,TME[[#All],[Insurance Category Code]],4,TME[[#All],[Large Provider Entity Code]],B51)/D51,"NA")</f>
        <v>NA</v>
      </c>
      <c r="G51" s="152" t="str">
        <f>IFERROR(SUMIFS(TME[[#All],[Total Non-Claims Spending]],TME[[#All],[Reporting Year]],2018,TME[[#All],[Insurance Category Code]],4,TME[[#All],[Large Provider Entity Code]],B51)/D51,"NA")</f>
        <v>NA</v>
      </c>
      <c r="H51" s="152" t="str">
        <f>IFERROR(SUMIFS(TME[[#All],[Total Non-Truncated Claims and Non-Claims Spending]],TME[[#All],[Reporting Year]],2018,TME[[#All],[Insurance Category Code]],4,TME[[#All],[Large Provider Entity Code]],B51)/D51,"NA")</f>
        <v>NA</v>
      </c>
      <c r="I51" s="152" t="str">
        <f>IFERROR(SUMIFS(TME[[#All],[Truncated Total Expenses (Total Truncated Claims Expenses + Non-Claims Expenses)]],TME[[#All],[Reporting Year]],2018,TME[[#All],[Insurance Category Code]],4,TME[[#All],[Large Provider Entity Code]],B51)/D51,"NA")</f>
        <v>NA</v>
      </c>
      <c r="J51" s="141">
        <f>SUMIFS(TME[[#All],[Member Months]],TME[[#All],[Reporting Year]],2019,TME[[#All],[Insurance Category Code]],4,TME[[#All],[Large Provider Entity Code]],B51)</f>
        <v>0</v>
      </c>
      <c r="K51" s="152" t="str">
        <f>IFERROR(SUMIFS(TME[[#All],[Total Non-Truncated Claims Spending]],TME[[#All],[Reporting Year]],2019,TME[[#All],[Insurance Category Code]],4,TME[[#All],[Large Provider Entity Code]],B51)/J51,"NA")</f>
        <v>NA</v>
      </c>
      <c r="L51" s="152" t="str">
        <f>IFERROR(SUMIFS(TME[[#All],[Total Truncated Claims Spending]],TME[[#All],[Reporting Year]],2019,TME[[#All],[Insurance Category Code]],4,TME[[#All],[Large Provider Entity Code]],B51)/J51,"NA")</f>
        <v>NA</v>
      </c>
      <c r="M51" s="152" t="str">
        <f>IFERROR(SUMIFS(TME[[#All],[Total Non-Claims Spending]],TME[[#All],[Reporting Year]],2019,TME[[#All],[Insurance Category Code]],4,TME[[#All],[Large Provider Entity Code]],B51)/J51,"NA")</f>
        <v>NA</v>
      </c>
      <c r="N51" s="152" t="str">
        <f>IFERROR(SUMIFS(TME[[#All],[Total Non-Truncated Claims and Non-Claims Spending]],TME[[#All],[Reporting Year]],2019,TME[[#All],[Insurance Category Code]],4,TME[[#All],[Large Provider Entity Code]],B51)/J51,"NA")</f>
        <v>NA</v>
      </c>
      <c r="O51" s="152" t="str">
        <f>IFERROR(SUMIFS(TME[[#All],[Truncated Total Expenses (Total Truncated Claims Expenses + Non-Claims Expenses)]],TME[[#All],[Reporting Year]],2019,TME[[#All],[Insurance Category Code]],4,TME[[#All],[Large Provider Entity Code]],B51)/J51,"NA")</f>
        <v>NA</v>
      </c>
      <c r="P51" s="154" t="str">
        <f t="shared" si="75"/>
        <v>NA</v>
      </c>
      <c r="Q51" s="154" t="str">
        <f t="shared" si="76"/>
        <v>NA</v>
      </c>
      <c r="R51" s="154" t="str">
        <f t="shared" si="77"/>
        <v>NA</v>
      </c>
      <c r="S51" s="154" t="str">
        <f t="shared" si="78"/>
        <v>NA</v>
      </c>
      <c r="T51" s="154" t="str">
        <f t="shared" si="79"/>
        <v>NA</v>
      </c>
      <c r="U51" s="154" t="str">
        <f t="shared" si="80"/>
        <v>NA</v>
      </c>
      <c r="W51" s="123">
        <v>106</v>
      </c>
      <c r="X51" s="103" t="s">
        <v>250</v>
      </c>
      <c r="Y51" s="141">
        <f>SUMIFS(TME[[#All],[Member Months]],TME[[#All],[Reporting Year]],2019,TME[[#All],[Insurance Category Code]],4,TME[[#All],[Large Provider Entity Code]],W51)</f>
        <v>0</v>
      </c>
      <c r="Z51" s="152" t="str">
        <f>IFERROR(SUMIFS(TME[[#All],[Total Non-Truncated Claims Spending]],TME[[#All],[Reporting Year]],2019,TME[[#All],[Insurance Category Code]],4,TME[[#All],[Large Provider Entity Code]],W51)/Y51,"NA")</f>
        <v>NA</v>
      </c>
      <c r="AA51" s="152" t="str">
        <f>IFERROR(SUMIFS(TME[[#All],[Total Truncated Claims Spending]],TME[[#All],[Reporting Year]],2019,TME[[#All],[Insurance Category Code]],4,TME[[#All],[Large Provider Entity Code]],W51)/Y51,"NA")</f>
        <v>NA</v>
      </c>
      <c r="AB51" s="152" t="str">
        <f>IFERROR(SUMIFS(TME[[#All],[Total Non-Claims Spending]],TME[[#All],[Reporting Year]],2019,TME[[#All],[Insurance Category Code]],4,TME[[#All],[Large Provider Entity Code]],W51)/Y51,"NA")</f>
        <v>NA</v>
      </c>
      <c r="AC51" s="152" t="str">
        <f>IFERROR(SUMIFS(TME[[#All],[Total Non-Truncated Claims and Non-Claims Spending]],TME[[#All],[Reporting Year]],2019,TME[[#All],[Insurance Category Code]],4,TME[[#All],[Large Provider Entity Code]],W51)/Y51,"NA")</f>
        <v>NA</v>
      </c>
      <c r="AD51" s="152" t="str">
        <f>IFERROR(SUMIFS(TME[[#All],[Truncated Total Expenses (Total Truncated Claims Expenses + Non-Claims Expenses)]],TME[[#All],[Reporting Year]],2019,TME[[#All],[Insurance Category Code]],4,TME[[#All],[Large Provider Entity Code]],W51)/Y51,"NA")</f>
        <v>NA</v>
      </c>
      <c r="AE51" s="141">
        <f>SUMIFS(TME[[#All],[Member Months]],TME[[#All],[Reporting Year]],2020,TME[[#All],[Insurance Category Code]],4,TME[[#All],[Large Provider Entity Code]],W51)</f>
        <v>0</v>
      </c>
      <c r="AF51" s="152" t="str">
        <f>IFERROR(SUMIFS(TME[[#All],[Total Non-Truncated Claims Spending]],TME[[#All],[Reporting Year]],2020,TME[[#All],[Insurance Category Code]],4,TME[[#All],[Large Provider Entity Code]],W51)/AE51,"NA")</f>
        <v>NA</v>
      </c>
      <c r="AG51" s="152" t="str">
        <f>IFERROR(SUMIFS(TME[[#All],[Total Truncated Claims Spending]],TME[[#All],[Reporting Year]],2020,TME[[#All],[Insurance Category Code]],4,TME[[#All],[Large Provider Entity Code]],W51)/AE51,"NA")</f>
        <v>NA</v>
      </c>
      <c r="AH51" s="152" t="str">
        <f>IFERROR(SUMIFS(TME[[#All],[Total Non-Claims Spending]],TME[[#All],[Reporting Year]],2020,TME[[#All],[Insurance Category Code]],4,TME[[#All],[Large Provider Entity Code]],W51)/AE51,"NA")</f>
        <v>NA</v>
      </c>
      <c r="AI51" s="152" t="str">
        <f>IFERROR(SUMIFS(TME[[#All],[Total Non-Truncated Claims and Non-Claims Spending]],TME[[#All],[Reporting Year]],2020,TME[[#All],[Insurance Category Code]],4,TME[[#All],[Large Provider Entity Code]],W51)/AE51,"NA")</f>
        <v>NA</v>
      </c>
      <c r="AJ51" s="152" t="str">
        <f>IFERROR(SUMIFS(TME[[#All],[Truncated Total Expenses (Total Truncated Claims Expenses + Non-Claims Expenses)]],TME[[#All],[Reporting Year]],2020,TME[[#All],[Insurance Category Code]],4,TME[[#All],[Large Provider Entity Code]],W51)/AE51,"NA")</f>
        <v>NA</v>
      </c>
      <c r="AK51" s="154" t="str">
        <f t="shared" si="81"/>
        <v>NA</v>
      </c>
      <c r="AL51" s="154" t="str">
        <f t="shared" si="82"/>
        <v>NA</v>
      </c>
      <c r="AM51" s="154" t="str">
        <f t="shared" si="83"/>
        <v>NA</v>
      </c>
      <c r="AN51" s="154" t="str">
        <f t="shared" si="84"/>
        <v>NA</v>
      </c>
      <c r="AO51" s="154" t="str">
        <f t="shared" si="85"/>
        <v>NA</v>
      </c>
      <c r="AP51" s="154" t="str">
        <f t="shared" si="86"/>
        <v>NA</v>
      </c>
      <c r="AR51" s="123">
        <v>106</v>
      </c>
      <c r="AS51" s="103" t="s">
        <v>250</v>
      </c>
      <c r="AT51" s="141">
        <f>SUMIFS(TME[[#All],[Member Months]],TME[[#All],[Reporting Year]],2020,TME[[#All],[Insurance Category Code]],4,TME[[#All],[Large Provider Entity Code]],AR51)</f>
        <v>0</v>
      </c>
      <c r="AU51" s="152" t="str">
        <f>IFERROR(SUMIFS(TME[[#All],[Total Non-Truncated Claims Spending]],TME[[#All],[Reporting Year]],2020,TME[[#All],[Insurance Category Code]],4,TME[[#All],[Large Provider Entity Code]],AR51)/AT51,"NA")</f>
        <v>NA</v>
      </c>
      <c r="AV51" s="152" t="str">
        <f>IFERROR(SUMIFS(TME[[#All],[Total Truncated Claims Spending]],TME[[#All],[Reporting Year]],2020,TME[[#All],[Insurance Category Code]],4,TME[[#All],[Large Provider Entity Code]],AR51)/AT51,"NA")</f>
        <v>NA</v>
      </c>
      <c r="AW51" s="152" t="str">
        <f>IFERROR(SUMIFS(TME[[#All],[Total Non-Claims Spending]],TME[[#All],[Reporting Year]],2020,TME[[#All],[Insurance Category Code]],4,TME[[#All],[Large Provider Entity Code]],AR51)/AT51,"NA")</f>
        <v>NA</v>
      </c>
      <c r="AX51" s="152" t="str">
        <f>IFERROR(SUMIFS(TME[[#All],[Total Non-Truncated Claims and Non-Claims Spending]],TME[[#All],[Reporting Year]],2020,TME[[#All],[Insurance Category Code]],4,TME[[#All],[Large Provider Entity Code]],AR51)/AT51,"NA")</f>
        <v>NA</v>
      </c>
      <c r="AY51" s="152" t="str">
        <f>IFERROR(SUMIFS(TME[[#All],[Truncated Total Expenses (Total Truncated Claims Expenses + Non-Claims Expenses)]],TME[[#All],[Reporting Year]],2020,TME[[#All],[Insurance Category Code]],4,TME[[#All],[Large Provider Entity Code]],AR51)/AT51,"NA")</f>
        <v>NA</v>
      </c>
      <c r="AZ51" s="141">
        <f>SUMIFS(TME[[#All],[Member Months]],TME[[#All],[Reporting Year]],2021,TME[[#All],[Insurance Category Code]],4,TME[[#All],[Large Provider Entity Code]],AR51)</f>
        <v>0</v>
      </c>
      <c r="BA51" s="152" t="str">
        <f>IFERROR(SUMIFS(TME[[#All],[Total Non-Truncated Claims Spending]],TME[[#All],[Reporting Year]],2021,TME[[#All],[Insurance Category Code]],4,TME[[#All],[Large Provider Entity Code]],AR51)/AZ51,"NA")</f>
        <v>NA</v>
      </c>
      <c r="BB51" s="152" t="str">
        <f>IFERROR(SUMIFS(TME[[#All],[Total Truncated Claims Spending]],TME[[#All],[Reporting Year]],2021,TME[[#All],[Insurance Category Code]],4,TME[[#All],[Large Provider Entity Code]],AR51)/AZ51,"NA")</f>
        <v>NA</v>
      </c>
      <c r="BC51" s="152" t="str">
        <f>IFERROR(SUMIFS(TME[[#All],[Total Non-Claims Spending]],TME[[#All],[Reporting Year]],2021,TME[[#All],[Insurance Category Code]],4,TME[[#All],[Large Provider Entity Code]],AR51)/AZ51,"NA")</f>
        <v>NA</v>
      </c>
      <c r="BD51" s="152" t="str">
        <f>IFERROR(SUMIFS(TME[[#All],[Total Non-Truncated Claims and Non-Claims Spending]],TME[[#All],[Reporting Year]],2021,TME[[#All],[Insurance Category Code]],4,TME[[#All],[Large Provider Entity Code]],AR51)/AZ51,"NA")</f>
        <v>NA</v>
      </c>
      <c r="BE51" s="152" t="str">
        <f>IFERROR(SUMIFS(TME[[#All],[Truncated Total Expenses (Total Truncated Claims Expenses + Non-Claims Expenses)]],TME[[#All],[Reporting Year]],2021,TME[[#All],[Insurance Category Code]],4,TME[[#All],[Large Provider Entity Code]],AR51)/AZ51,"NA")</f>
        <v>NA</v>
      </c>
      <c r="BF51" s="154" t="str">
        <f t="shared" si="87"/>
        <v>NA</v>
      </c>
      <c r="BG51" s="154" t="str">
        <f t="shared" si="88"/>
        <v>NA</v>
      </c>
      <c r="BH51" s="154" t="str">
        <f t="shared" si="89"/>
        <v>NA</v>
      </c>
      <c r="BI51" s="154" t="str">
        <f t="shared" si="90"/>
        <v>NA</v>
      </c>
      <c r="BJ51" s="154" t="str">
        <f t="shared" si="91"/>
        <v>NA</v>
      </c>
      <c r="BK51" s="154" t="str">
        <f t="shared" si="92"/>
        <v>NA</v>
      </c>
    </row>
    <row r="52" spans="2:63" x14ac:dyDescent="0.35">
      <c r="B52" s="123">
        <v>107</v>
      </c>
      <c r="C52" s="103" t="s">
        <v>251</v>
      </c>
      <c r="D52" s="141">
        <f>SUMIFS(TME[[#All],[Member Months]],TME[[#All],[Reporting Year]],2018,TME[[#All],[Insurance Category Code]],4,TME[[#All],[Large Provider Entity Code]],B52)</f>
        <v>0</v>
      </c>
      <c r="E52" s="152" t="str">
        <f>IFERROR(SUMIFS(TME[[#All],[Total Non-Truncated Claims Spending]],TME[[#All],[Reporting Year]],2018,TME[[#All],[Insurance Category Code]],4,TME[[#All],[Large Provider Entity Code]],B52)/D52,"NA")</f>
        <v>NA</v>
      </c>
      <c r="F52" s="152" t="str">
        <f>IFERROR(SUMIFS(TME[[#All],[Total Truncated Claims Spending]],TME[[#All],[Reporting Year]],2018,TME[[#All],[Insurance Category Code]],4,TME[[#All],[Large Provider Entity Code]],B52)/D52,"NA")</f>
        <v>NA</v>
      </c>
      <c r="G52" s="152" t="str">
        <f>IFERROR(SUMIFS(TME[[#All],[Total Non-Claims Spending]],TME[[#All],[Reporting Year]],2018,TME[[#All],[Insurance Category Code]],4,TME[[#All],[Large Provider Entity Code]],B52)/D52,"NA")</f>
        <v>NA</v>
      </c>
      <c r="H52" s="152" t="str">
        <f>IFERROR(SUMIFS(TME[[#All],[Total Non-Truncated Claims and Non-Claims Spending]],TME[[#All],[Reporting Year]],2018,TME[[#All],[Insurance Category Code]],4,TME[[#All],[Large Provider Entity Code]],B52)/D52,"NA")</f>
        <v>NA</v>
      </c>
      <c r="I52" s="152" t="str">
        <f>IFERROR(SUMIFS(TME[[#All],[Truncated Total Expenses (Total Truncated Claims Expenses + Non-Claims Expenses)]],TME[[#All],[Reporting Year]],2018,TME[[#All],[Insurance Category Code]],4,TME[[#All],[Large Provider Entity Code]],B52)/D52,"NA")</f>
        <v>NA</v>
      </c>
      <c r="J52" s="141">
        <f>SUMIFS(TME[[#All],[Member Months]],TME[[#All],[Reporting Year]],2019,TME[[#All],[Insurance Category Code]],4,TME[[#All],[Large Provider Entity Code]],B52)</f>
        <v>0</v>
      </c>
      <c r="K52" s="152" t="str">
        <f>IFERROR(SUMIFS(TME[[#All],[Total Non-Truncated Claims Spending]],TME[[#All],[Reporting Year]],2019,TME[[#All],[Insurance Category Code]],4,TME[[#All],[Large Provider Entity Code]],B52)/J52,"NA")</f>
        <v>NA</v>
      </c>
      <c r="L52" s="152" t="str">
        <f>IFERROR(SUMIFS(TME[[#All],[Total Truncated Claims Spending]],TME[[#All],[Reporting Year]],2019,TME[[#All],[Insurance Category Code]],4,TME[[#All],[Large Provider Entity Code]],B52)/J52,"NA")</f>
        <v>NA</v>
      </c>
      <c r="M52" s="152" t="str">
        <f>IFERROR(SUMIFS(TME[[#All],[Total Non-Claims Spending]],TME[[#All],[Reporting Year]],2019,TME[[#All],[Insurance Category Code]],4,TME[[#All],[Large Provider Entity Code]],B52)/J52,"NA")</f>
        <v>NA</v>
      </c>
      <c r="N52" s="152" t="str">
        <f>IFERROR(SUMIFS(TME[[#All],[Total Non-Truncated Claims and Non-Claims Spending]],TME[[#All],[Reporting Year]],2019,TME[[#All],[Insurance Category Code]],4,TME[[#All],[Large Provider Entity Code]],B52)/J52,"NA")</f>
        <v>NA</v>
      </c>
      <c r="O52" s="152" t="str">
        <f>IFERROR(SUMIFS(TME[[#All],[Truncated Total Expenses (Total Truncated Claims Expenses + Non-Claims Expenses)]],TME[[#All],[Reporting Year]],2019,TME[[#All],[Insurance Category Code]],4,TME[[#All],[Large Provider Entity Code]],B52)/J52,"NA")</f>
        <v>NA</v>
      </c>
      <c r="P52" s="154" t="str">
        <f t="shared" si="75"/>
        <v>NA</v>
      </c>
      <c r="Q52" s="154" t="str">
        <f t="shared" si="76"/>
        <v>NA</v>
      </c>
      <c r="R52" s="154" t="str">
        <f t="shared" si="77"/>
        <v>NA</v>
      </c>
      <c r="S52" s="154" t="str">
        <f t="shared" si="78"/>
        <v>NA</v>
      </c>
      <c r="T52" s="154" t="str">
        <f t="shared" si="79"/>
        <v>NA</v>
      </c>
      <c r="U52" s="154" t="str">
        <f t="shared" si="80"/>
        <v>NA</v>
      </c>
      <c r="W52" s="123">
        <v>107</v>
      </c>
      <c r="X52" s="103" t="s">
        <v>251</v>
      </c>
      <c r="Y52" s="141">
        <f>SUMIFS(TME[[#All],[Member Months]],TME[[#All],[Reporting Year]],2019,TME[[#All],[Insurance Category Code]],4,TME[[#All],[Large Provider Entity Code]],W52)</f>
        <v>0</v>
      </c>
      <c r="Z52" s="152" t="str">
        <f>IFERROR(SUMIFS(TME[[#All],[Total Non-Truncated Claims Spending]],TME[[#All],[Reporting Year]],2019,TME[[#All],[Insurance Category Code]],4,TME[[#All],[Large Provider Entity Code]],W52)/Y52,"NA")</f>
        <v>NA</v>
      </c>
      <c r="AA52" s="152" t="str">
        <f>IFERROR(SUMIFS(TME[[#All],[Total Truncated Claims Spending]],TME[[#All],[Reporting Year]],2019,TME[[#All],[Insurance Category Code]],4,TME[[#All],[Large Provider Entity Code]],W52)/Y52,"NA")</f>
        <v>NA</v>
      </c>
      <c r="AB52" s="152" t="str">
        <f>IFERROR(SUMIFS(TME[[#All],[Total Non-Claims Spending]],TME[[#All],[Reporting Year]],2019,TME[[#All],[Insurance Category Code]],4,TME[[#All],[Large Provider Entity Code]],W52)/Y52,"NA")</f>
        <v>NA</v>
      </c>
      <c r="AC52" s="152" t="str">
        <f>IFERROR(SUMIFS(TME[[#All],[Total Non-Truncated Claims and Non-Claims Spending]],TME[[#All],[Reporting Year]],2019,TME[[#All],[Insurance Category Code]],4,TME[[#All],[Large Provider Entity Code]],W52)/Y52,"NA")</f>
        <v>NA</v>
      </c>
      <c r="AD52" s="152" t="str">
        <f>IFERROR(SUMIFS(TME[[#All],[Truncated Total Expenses (Total Truncated Claims Expenses + Non-Claims Expenses)]],TME[[#All],[Reporting Year]],2019,TME[[#All],[Insurance Category Code]],4,TME[[#All],[Large Provider Entity Code]],W52)/Y52,"NA")</f>
        <v>NA</v>
      </c>
      <c r="AE52" s="141">
        <f>SUMIFS(TME[[#All],[Member Months]],TME[[#All],[Reporting Year]],2020,TME[[#All],[Insurance Category Code]],4,TME[[#All],[Large Provider Entity Code]],W52)</f>
        <v>0</v>
      </c>
      <c r="AF52" s="152" t="str">
        <f>IFERROR(SUMIFS(TME[[#All],[Total Non-Truncated Claims Spending]],TME[[#All],[Reporting Year]],2020,TME[[#All],[Insurance Category Code]],4,TME[[#All],[Large Provider Entity Code]],W52)/AE52,"NA")</f>
        <v>NA</v>
      </c>
      <c r="AG52" s="152" t="str">
        <f>IFERROR(SUMIFS(TME[[#All],[Total Truncated Claims Spending]],TME[[#All],[Reporting Year]],2020,TME[[#All],[Insurance Category Code]],4,TME[[#All],[Large Provider Entity Code]],W52)/AE52,"NA")</f>
        <v>NA</v>
      </c>
      <c r="AH52" s="152" t="str">
        <f>IFERROR(SUMIFS(TME[[#All],[Total Non-Claims Spending]],TME[[#All],[Reporting Year]],2020,TME[[#All],[Insurance Category Code]],4,TME[[#All],[Large Provider Entity Code]],W52)/AE52,"NA")</f>
        <v>NA</v>
      </c>
      <c r="AI52" s="152" t="str">
        <f>IFERROR(SUMIFS(TME[[#All],[Total Non-Truncated Claims and Non-Claims Spending]],TME[[#All],[Reporting Year]],2020,TME[[#All],[Insurance Category Code]],4,TME[[#All],[Large Provider Entity Code]],W52)/AE52,"NA")</f>
        <v>NA</v>
      </c>
      <c r="AJ52" s="152" t="str">
        <f>IFERROR(SUMIFS(TME[[#All],[Truncated Total Expenses (Total Truncated Claims Expenses + Non-Claims Expenses)]],TME[[#All],[Reporting Year]],2020,TME[[#All],[Insurance Category Code]],4,TME[[#All],[Large Provider Entity Code]],W52)/AE52,"NA")</f>
        <v>NA</v>
      </c>
      <c r="AK52" s="154" t="str">
        <f t="shared" si="81"/>
        <v>NA</v>
      </c>
      <c r="AL52" s="154" t="str">
        <f t="shared" si="82"/>
        <v>NA</v>
      </c>
      <c r="AM52" s="154" t="str">
        <f t="shared" si="83"/>
        <v>NA</v>
      </c>
      <c r="AN52" s="154" t="str">
        <f t="shared" si="84"/>
        <v>NA</v>
      </c>
      <c r="AO52" s="154" t="str">
        <f t="shared" si="85"/>
        <v>NA</v>
      </c>
      <c r="AP52" s="154" t="str">
        <f t="shared" si="86"/>
        <v>NA</v>
      </c>
      <c r="AR52" s="123">
        <v>107</v>
      </c>
      <c r="AS52" s="103" t="s">
        <v>251</v>
      </c>
      <c r="AT52" s="141">
        <f>SUMIFS(TME[[#All],[Member Months]],TME[[#All],[Reporting Year]],2020,TME[[#All],[Insurance Category Code]],4,TME[[#All],[Large Provider Entity Code]],AR52)</f>
        <v>0</v>
      </c>
      <c r="AU52" s="152" t="str">
        <f>IFERROR(SUMIFS(TME[[#All],[Total Non-Truncated Claims Spending]],TME[[#All],[Reporting Year]],2020,TME[[#All],[Insurance Category Code]],4,TME[[#All],[Large Provider Entity Code]],AR52)/AT52,"NA")</f>
        <v>NA</v>
      </c>
      <c r="AV52" s="152" t="str">
        <f>IFERROR(SUMIFS(TME[[#All],[Total Truncated Claims Spending]],TME[[#All],[Reporting Year]],2020,TME[[#All],[Insurance Category Code]],4,TME[[#All],[Large Provider Entity Code]],AR52)/AT52,"NA")</f>
        <v>NA</v>
      </c>
      <c r="AW52" s="152" t="str">
        <f>IFERROR(SUMIFS(TME[[#All],[Total Non-Claims Spending]],TME[[#All],[Reporting Year]],2020,TME[[#All],[Insurance Category Code]],4,TME[[#All],[Large Provider Entity Code]],AR52)/AT52,"NA")</f>
        <v>NA</v>
      </c>
      <c r="AX52" s="152" t="str">
        <f>IFERROR(SUMIFS(TME[[#All],[Total Non-Truncated Claims and Non-Claims Spending]],TME[[#All],[Reporting Year]],2020,TME[[#All],[Insurance Category Code]],4,TME[[#All],[Large Provider Entity Code]],AR52)/AT52,"NA")</f>
        <v>NA</v>
      </c>
      <c r="AY52" s="152" t="str">
        <f>IFERROR(SUMIFS(TME[[#All],[Truncated Total Expenses (Total Truncated Claims Expenses + Non-Claims Expenses)]],TME[[#All],[Reporting Year]],2020,TME[[#All],[Insurance Category Code]],4,TME[[#All],[Large Provider Entity Code]],AR52)/AT52,"NA")</f>
        <v>NA</v>
      </c>
      <c r="AZ52" s="141">
        <f>SUMIFS(TME[[#All],[Member Months]],TME[[#All],[Reporting Year]],2021,TME[[#All],[Insurance Category Code]],4,TME[[#All],[Large Provider Entity Code]],AR52)</f>
        <v>0</v>
      </c>
      <c r="BA52" s="152" t="str">
        <f>IFERROR(SUMIFS(TME[[#All],[Total Non-Truncated Claims Spending]],TME[[#All],[Reporting Year]],2021,TME[[#All],[Insurance Category Code]],4,TME[[#All],[Large Provider Entity Code]],AR52)/AZ52,"NA")</f>
        <v>NA</v>
      </c>
      <c r="BB52" s="152" t="str">
        <f>IFERROR(SUMIFS(TME[[#All],[Total Truncated Claims Spending]],TME[[#All],[Reporting Year]],2021,TME[[#All],[Insurance Category Code]],4,TME[[#All],[Large Provider Entity Code]],AR52)/AZ52,"NA")</f>
        <v>NA</v>
      </c>
      <c r="BC52" s="152" t="str">
        <f>IFERROR(SUMIFS(TME[[#All],[Total Non-Claims Spending]],TME[[#All],[Reporting Year]],2021,TME[[#All],[Insurance Category Code]],4,TME[[#All],[Large Provider Entity Code]],AR52)/AZ52,"NA")</f>
        <v>NA</v>
      </c>
      <c r="BD52" s="152" t="str">
        <f>IFERROR(SUMIFS(TME[[#All],[Total Non-Truncated Claims and Non-Claims Spending]],TME[[#All],[Reporting Year]],2021,TME[[#All],[Insurance Category Code]],4,TME[[#All],[Large Provider Entity Code]],AR52)/AZ52,"NA")</f>
        <v>NA</v>
      </c>
      <c r="BE52" s="152" t="str">
        <f>IFERROR(SUMIFS(TME[[#All],[Truncated Total Expenses (Total Truncated Claims Expenses + Non-Claims Expenses)]],TME[[#All],[Reporting Year]],2021,TME[[#All],[Insurance Category Code]],4,TME[[#All],[Large Provider Entity Code]],AR52)/AZ52,"NA")</f>
        <v>NA</v>
      </c>
      <c r="BF52" s="154" t="str">
        <f t="shared" si="87"/>
        <v>NA</v>
      </c>
      <c r="BG52" s="154" t="str">
        <f t="shared" si="88"/>
        <v>NA</v>
      </c>
      <c r="BH52" s="154" t="str">
        <f t="shared" si="89"/>
        <v>NA</v>
      </c>
      <c r="BI52" s="154" t="str">
        <f t="shared" si="90"/>
        <v>NA</v>
      </c>
      <c r="BJ52" s="154" t="str">
        <f t="shared" si="91"/>
        <v>NA</v>
      </c>
      <c r="BK52" s="154" t="str">
        <f t="shared" si="92"/>
        <v>NA</v>
      </c>
    </row>
    <row r="53" spans="2:63" x14ac:dyDescent="0.35">
      <c r="B53" s="123">
        <v>108</v>
      </c>
      <c r="C53" s="103" t="s">
        <v>252</v>
      </c>
      <c r="D53" s="141">
        <f>SUMIFS(TME[[#All],[Member Months]],TME[[#All],[Reporting Year]],2018,TME[[#All],[Insurance Category Code]],4,TME[[#All],[Large Provider Entity Code]],B53)</f>
        <v>0</v>
      </c>
      <c r="E53" s="152" t="str">
        <f>IFERROR(SUMIFS(TME[[#All],[Total Non-Truncated Claims Spending]],TME[[#All],[Reporting Year]],2018,TME[[#All],[Insurance Category Code]],4,TME[[#All],[Large Provider Entity Code]],B53)/D53,"NA")</f>
        <v>NA</v>
      </c>
      <c r="F53" s="152" t="str">
        <f>IFERROR(SUMIFS(TME[[#All],[Total Truncated Claims Spending]],TME[[#All],[Reporting Year]],2018,TME[[#All],[Insurance Category Code]],4,TME[[#All],[Large Provider Entity Code]],B53)/D53,"NA")</f>
        <v>NA</v>
      </c>
      <c r="G53" s="152" t="str">
        <f>IFERROR(SUMIFS(TME[[#All],[Total Non-Claims Spending]],TME[[#All],[Reporting Year]],2018,TME[[#All],[Insurance Category Code]],4,TME[[#All],[Large Provider Entity Code]],B53)/D53,"NA")</f>
        <v>NA</v>
      </c>
      <c r="H53" s="152" t="str">
        <f>IFERROR(SUMIFS(TME[[#All],[Total Non-Truncated Claims and Non-Claims Spending]],TME[[#All],[Reporting Year]],2018,TME[[#All],[Insurance Category Code]],4,TME[[#All],[Large Provider Entity Code]],B53)/D53,"NA")</f>
        <v>NA</v>
      </c>
      <c r="I53" s="152" t="str">
        <f>IFERROR(SUMIFS(TME[[#All],[Truncated Total Expenses (Total Truncated Claims Expenses + Non-Claims Expenses)]],TME[[#All],[Reporting Year]],2018,TME[[#All],[Insurance Category Code]],4,TME[[#All],[Large Provider Entity Code]],B53)/D53,"NA")</f>
        <v>NA</v>
      </c>
      <c r="J53" s="141">
        <f>SUMIFS(TME[[#All],[Member Months]],TME[[#All],[Reporting Year]],2019,TME[[#All],[Insurance Category Code]],4,TME[[#All],[Large Provider Entity Code]],B53)</f>
        <v>0</v>
      </c>
      <c r="K53" s="152" t="str">
        <f>IFERROR(SUMIFS(TME[[#All],[Total Non-Truncated Claims Spending]],TME[[#All],[Reporting Year]],2019,TME[[#All],[Insurance Category Code]],4,TME[[#All],[Large Provider Entity Code]],B53)/J53,"NA")</f>
        <v>NA</v>
      </c>
      <c r="L53" s="152" t="str">
        <f>IFERROR(SUMIFS(TME[[#All],[Total Truncated Claims Spending]],TME[[#All],[Reporting Year]],2019,TME[[#All],[Insurance Category Code]],4,TME[[#All],[Large Provider Entity Code]],B53)/J53,"NA")</f>
        <v>NA</v>
      </c>
      <c r="M53" s="152" t="str">
        <f>IFERROR(SUMIFS(TME[[#All],[Total Non-Claims Spending]],TME[[#All],[Reporting Year]],2019,TME[[#All],[Insurance Category Code]],4,TME[[#All],[Large Provider Entity Code]],B53)/J53,"NA")</f>
        <v>NA</v>
      </c>
      <c r="N53" s="152" t="str">
        <f>IFERROR(SUMIFS(TME[[#All],[Total Non-Truncated Claims and Non-Claims Spending]],TME[[#All],[Reporting Year]],2019,TME[[#All],[Insurance Category Code]],4,TME[[#All],[Large Provider Entity Code]],B53)/J53,"NA")</f>
        <v>NA</v>
      </c>
      <c r="O53" s="152" t="str">
        <f>IFERROR(SUMIFS(TME[[#All],[Truncated Total Expenses (Total Truncated Claims Expenses + Non-Claims Expenses)]],TME[[#All],[Reporting Year]],2019,TME[[#All],[Insurance Category Code]],4,TME[[#All],[Large Provider Entity Code]],B53)/J53,"NA")</f>
        <v>NA</v>
      </c>
      <c r="P53" s="154" t="str">
        <f t="shared" si="75"/>
        <v>NA</v>
      </c>
      <c r="Q53" s="154" t="str">
        <f t="shared" si="76"/>
        <v>NA</v>
      </c>
      <c r="R53" s="154" t="str">
        <f t="shared" si="77"/>
        <v>NA</v>
      </c>
      <c r="S53" s="154" t="str">
        <f t="shared" si="78"/>
        <v>NA</v>
      </c>
      <c r="T53" s="154" t="str">
        <f t="shared" si="79"/>
        <v>NA</v>
      </c>
      <c r="U53" s="154" t="str">
        <f t="shared" si="80"/>
        <v>NA</v>
      </c>
      <c r="W53" s="123">
        <v>108</v>
      </c>
      <c r="X53" s="103" t="s">
        <v>252</v>
      </c>
      <c r="Y53" s="141">
        <f>SUMIFS(TME[[#All],[Member Months]],TME[[#All],[Reporting Year]],2019,TME[[#All],[Insurance Category Code]],4,TME[[#All],[Large Provider Entity Code]],W53)</f>
        <v>0</v>
      </c>
      <c r="Z53" s="152" t="str">
        <f>IFERROR(SUMIFS(TME[[#All],[Total Non-Truncated Claims Spending]],TME[[#All],[Reporting Year]],2019,TME[[#All],[Insurance Category Code]],4,TME[[#All],[Large Provider Entity Code]],W53)/Y53,"NA")</f>
        <v>NA</v>
      </c>
      <c r="AA53" s="152" t="str">
        <f>IFERROR(SUMIFS(TME[[#All],[Total Truncated Claims Spending]],TME[[#All],[Reporting Year]],2019,TME[[#All],[Insurance Category Code]],4,TME[[#All],[Large Provider Entity Code]],W53)/Y53,"NA")</f>
        <v>NA</v>
      </c>
      <c r="AB53" s="152" t="str">
        <f>IFERROR(SUMIFS(TME[[#All],[Total Non-Claims Spending]],TME[[#All],[Reporting Year]],2019,TME[[#All],[Insurance Category Code]],4,TME[[#All],[Large Provider Entity Code]],W53)/Y53,"NA")</f>
        <v>NA</v>
      </c>
      <c r="AC53" s="152" t="str">
        <f>IFERROR(SUMIFS(TME[[#All],[Total Non-Truncated Claims and Non-Claims Spending]],TME[[#All],[Reporting Year]],2019,TME[[#All],[Insurance Category Code]],4,TME[[#All],[Large Provider Entity Code]],W53)/Y53,"NA")</f>
        <v>NA</v>
      </c>
      <c r="AD53" s="152" t="str">
        <f>IFERROR(SUMIFS(TME[[#All],[Truncated Total Expenses (Total Truncated Claims Expenses + Non-Claims Expenses)]],TME[[#All],[Reporting Year]],2019,TME[[#All],[Insurance Category Code]],4,TME[[#All],[Large Provider Entity Code]],W53)/Y53,"NA")</f>
        <v>NA</v>
      </c>
      <c r="AE53" s="141">
        <f>SUMIFS(TME[[#All],[Member Months]],TME[[#All],[Reporting Year]],2020,TME[[#All],[Insurance Category Code]],4,TME[[#All],[Large Provider Entity Code]],W53)</f>
        <v>0</v>
      </c>
      <c r="AF53" s="152" t="str">
        <f>IFERROR(SUMIFS(TME[[#All],[Total Non-Truncated Claims Spending]],TME[[#All],[Reporting Year]],2020,TME[[#All],[Insurance Category Code]],4,TME[[#All],[Large Provider Entity Code]],W53)/AE53,"NA")</f>
        <v>NA</v>
      </c>
      <c r="AG53" s="152" t="str">
        <f>IFERROR(SUMIFS(TME[[#All],[Total Truncated Claims Spending]],TME[[#All],[Reporting Year]],2020,TME[[#All],[Insurance Category Code]],4,TME[[#All],[Large Provider Entity Code]],W53)/AE53,"NA")</f>
        <v>NA</v>
      </c>
      <c r="AH53" s="152" t="str">
        <f>IFERROR(SUMIFS(TME[[#All],[Total Non-Claims Spending]],TME[[#All],[Reporting Year]],2020,TME[[#All],[Insurance Category Code]],4,TME[[#All],[Large Provider Entity Code]],W53)/AE53,"NA")</f>
        <v>NA</v>
      </c>
      <c r="AI53" s="152" t="str">
        <f>IFERROR(SUMIFS(TME[[#All],[Total Non-Truncated Claims and Non-Claims Spending]],TME[[#All],[Reporting Year]],2020,TME[[#All],[Insurance Category Code]],4,TME[[#All],[Large Provider Entity Code]],W53)/AE53,"NA")</f>
        <v>NA</v>
      </c>
      <c r="AJ53" s="152" t="str">
        <f>IFERROR(SUMIFS(TME[[#All],[Truncated Total Expenses (Total Truncated Claims Expenses + Non-Claims Expenses)]],TME[[#All],[Reporting Year]],2020,TME[[#All],[Insurance Category Code]],4,TME[[#All],[Large Provider Entity Code]],W53)/AE53,"NA")</f>
        <v>NA</v>
      </c>
      <c r="AK53" s="154" t="str">
        <f t="shared" si="81"/>
        <v>NA</v>
      </c>
      <c r="AL53" s="154" t="str">
        <f t="shared" si="82"/>
        <v>NA</v>
      </c>
      <c r="AM53" s="154" t="str">
        <f t="shared" si="83"/>
        <v>NA</v>
      </c>
      <c r="AN53" s="154" t="str">
        <f t="shared" si="84"/>
        <v>NA</v>
      </c>
      <c r="AO53" s="154" t="str">
        <f t="shared" si="85"/>
        <v>NA</v>
      </c>
      <c r="AP53" s="154" t="str">
        <f t="shared" si="86"/>
        <v>NA</v>
      </c>
      <c r="AR53" s="123">
        <v>108</v>
      </c>
      <c r="AS53" s="103" t="s">
        <v>252</v>
      </c>
      <c r="AT53" s="141">
        <f>SUMIFS(TME[[#All],[Member Months]],TME[[#All],[Reporting Year]],2020,TME[[#All],[Insurance Category Code]],4,TME[[#All],[Large Provider Entity Code]],AR53)</f>
        <v>0</v>
      </c>
      <c r="AU53" s="152" t="str">
        <f>IFERROR(SUMIFS(TME[[#All],[Total Non-Truncated Claims Spending]],TME[[#All],[Reporting Year]],2020,TME[[#All],[Insurance Category Code]],4,TME[[#All],[Large Provider Entity Code]],AR53)/AT53,"NA")</f>
        <v>NA</v>
      </c>
      <c r="AV53" s="152" t="str">
        <f>IFERROR(SUMIFS(TME[[#All],[Total Truncated Claims Spending]],TME[[#All],[Reporting Year]],2020,TME[[#All],[Insurance Category Code]],4,TME[[#All],[Large Provider Entity Code]],AR53)/AT53,"NA")</f>
        <v>NA</v>
      </c>
      <c r="AW53" s="152" t="str">
        <f>IFERROR(SUMIFS(TME[[#All],[Total Non-Claims Spending]],TME[[#All],[Reporting Year]],2020,TME[[#All],[Insurance Category Code]],4,TME[[#All],[Large Provider Entity Code]],AR53)/AT53,"NA")</f>
        <v>NA</v>
      </c>
      <c r="AX53" s="152" t="str">
        <f>IFERROR(SUMIFS(TME[[#All],[Total Non-Truncated Claims and Non-Claims Spending]],TME[[#All],[Reporting Year]],2020,TME[[#All],[Insurance Category Code]],4,TME[[#All],[Large Provider Entity Code]],AR53)/AT53,"NA")</f>
        <v>NA</v>
      </c>
      <c r="AY53" s="152" t="str">
        <f>IFERROR(SUMIFS(TME[[#All],[Truncated Total Expenses (Total Truncated Claims Expenses + Non-Claims Expenses)]],TME[[#All],[Reporting Year]],2020,TME[[#All],[Insurance Category Code]],4,TME[[#All],[Large Provider Entity Code]],AR53)/AT53,"NA")</f>
        <v>NA</v>
      </c>
      <c r="AZ53" s="141">
        <f>SUMIFS(TME[[#All],[Member Months]],TME[[#All],[Reporting Year]],2021,TME[[#All],[Insurance Category Code]],4,TME[[#All],[Large Provider Entity Code]],AR53)</f>
        <v>0</v>
      </c>
      <c r="BA53" s="152" t="str">
        <f>IFERROR(SUMIFS(TME[[#All],[Total Non-Truncated Claims Spending]],TME[[#All],[Reporting Year]],2021,TME[[#All],[Insurance Category Code]],4,TME[[#All],[Large Provider Entity Code]],AR53)/AZ53,"NA")</f>
        <v>NA</v>
      </c>
      <c r="BB53" s="152" t="str">
        <f>IFERROR(SUMIFS(TME[[#All],[Total Truncated Claims Spending]],TME[[#All],[Reporting Year]],2021,TME[[#All],[Insurance Category Code]],4,TME[[#All],[Large Provider Entity Code]],AR53)/AZ53,"NA")</f>
        <v>NA</v>
      </c>
      <c r="BC53" s="152" t="str">
        <f>IFERROR(SUMIFS(TME[[#All],[Total Non-Claims Spending]],TME[[#All],[Reporting Year]],2021,TME[[#All],[Insurance Category Code]],4,TME[[#All],[Large Provider Entity Code]],AR53)/AZ53,"NA")</f>
        <v>NA</v>
      </c>
      <c r="BD53" s="152" t="str">
        <f>IFERROR(SUMIFS(TME[[#All],[Total Non-Truncated Claims and Non-Claims Spending]],TME[[#All],[Reporting Year]],2021,TME[[#All],[Insurance Category Code]],4,TME[[#All],[Large Provider Entity Code]],AR53)/AZ53,"NA")</f>
        <v>NA</v>
      </c>
      <c r="BE53" s="152" t="str">
        <f>IFERROR(SUMIFS(TME[[#All],[Truncated Total Expenses (Total Truncated Claims Expenses + Non-Claims Expenses)]],TME[[#All],[Reporting Year]],2021,TME[[#All],[Insurance Category Code]],4,TME[[#All],[Large Provider Entity Code]],AR53)/AZ53,"NA")</f>
        <v>NA</v>
      </c>
      <c r="BF53" s="154" t="str">
        <f t="shared" si="87"/>
        <v>NA</v>
      </c>
      <c r="BG53" s="154" t="str">
        <f t="shared" si="88"/>
        <v>NA</v>
      </c>
      <c r="BH53" s="154" t="str">
        <f t="shared" si="89"/>
        <v>NA</v>
      </c>
      <c r="BI53" s="154" t="str">
        <f t="shared" si="90"/>
        <v>NA</v>
      </c>
      <c r="BJ53" s="154" t="str">
        <f t="shared" si="91"/>
        <v>NA</v>
      </c>
      <c r="BK53" s="154" t="str">
        <f t="shared" si="92"/>
        <v>NA</v>
      </c>
    </row>
    <row r="54" spans="2:63" x14ac:dyDescent="0.35">
      <c r="B54" s="123">
        <v>109</v>
      </c>
      <c r="C54" s="103" t="s">
        <v>253</v>
      </c>
      <c r="D54" s="141">
        <f>SUMIFS(TME[[#All],[Member Months]],TME[[#All],[Reporting Year]],2018,TME[[#All],[Insurance Category Code]],4,TME[[#All],[Large Provider Entity Code]],B54)</f>
        <v>0</v>
      </c>
      <c r="E54" s="152" t="str">
        <f>IFERROR(SUMIFS(TME[[#All],[Total Non-Truncated Claims Spending]],TME[[#All],[Reporting Year]],2018,TME[[#All],[Insurance Category Code]],4,TME[[#All],[Large Provider Entity Code]],B54)/D54,"NA")</f>
        <v>NA</v>
      </c>
      <c r="F54" s="152" t="str">
        <f>IFERROR(SUMIFS(TME[[#All],[Total Truncated Claims Spending]],TME[[#All],[Reporting Year]],2018,TME[[#All],[Insurance Category Code]],4,TME[[#All],[Large Provider Entity Code]],B54)/D54,"NA")</f>
        <v>NA</v>
      </c>
      <c r="G54" s="152" t="str">
        <f>IFERROR(SUMIFS(TME[[#All],[Total Non-Claims Spending]],TME[[#All],[Reporting Year]],2018,TME[[#All],[Insurance Category Code]],4,TME[[#All],[Large Provider Entity Code]],B54)/D54,"NA")</f>
        <v>NA</v>
      </c>
      <c r="H54" s="152" t="str">
        <f>IFERROR(SUMIFS(TME[[#All],[Total Non-Truncated Claims and Non-Claims Spending]],TME[[#All],[Reporting Year]],2018,TME[[#All],[Insurance Category Code]],4,TME[[#All],[Large Provider Entity Code]],B54)/D54,"NA")</f>
        <v>NA</v>
      </c>
      <c r="I54" s="152" t="str">
        <f>IFERROR(SUMIFS(TME[[#All],[Truncated Total Expenses (Total Truncated Claims Expenses + Non-Claims Expenses)]],TME[[#All],[Reporting Year]],2018,TME[[#All],[Insurance Category Code]],4,TME[[#All],[Large Provider Entity Code]],B54)/D54,"NA")</f>
        <v>NA</v>
      </c>
      <c r="J54" s="141">
        <f>SUMIFS(TME[[#All],[Member Months]],TME[[#All],[Reporting Year]],2019,TME[[#All],[Insurance Category Code]],4,TME[[#All],[Large Provider Entity Code]],B54)</f>
        <v>0</v>
      </c>
      <c r="K54" s="152" t="str">
        <f>IFERROR(SUMIFS(TME[[#All],[Total Non-Truncated Claims Spending]],TME[[#All],[Reporting Year]],2019,TME[[#All],[Insurance Category Code]],4,TME[[#All],[Large Provider Entity Code]],B54)/J54,"NA")</f>
        <v>NA</v>
      </c>
      <c r="L54" s="152" t="str">
        <f>IFERROR(SUMIFS(TME[[#All],[Total Truncated Claims Spending]],TME[[#All],[Reporting Year]],2019,TME[[#All],[Insurance Category Code]],4,TME[[#All],[Large Provider Entity Code]],B54)/J54,"NA")</f>
        <v>NA</v>
      </c>
      <c r="M54" s="152" t="str">
        <f>IFERROR(SUMIFS(TME[[#All],[Total Non-Claims Spending]],TME[[#All],[Reporting Year]],2019,TME[[#All],[Insurance Category Code]],4,TME[[#All],[Large Provider Entity Code]],B54)/J54,"NA")</f>
        <v>NA</v>
      </c>
      <c r="N54" s="152" t="str">
        <f>IFERROR(SUMIFS(TME[[#All],[Total Non-Truncated Claims and Non-Claims Spending]],TME[[#All],[Reporting Year]],2019,TME[[#All],[Insurance Category Code]],4,TME[[#All],[Large Provider Entity Code]],B54)/J54,"NA")</f>
        <v>NA</v>
      </c>
      <c r="O54" s="152" t="str">
        <f>IFERROR(SUMIFS(TME[[#All],[Truncated Total Expenses (Total Truncated Claims Expenses + Non-Claims Expenses)]],TME[[#All],[Reporting Year]],2019,TME[[#All],[Insurance Category Code]],4,TME[[#All],[Large Provider Entity Code]],B54)/J54,"NA")</f>
        <v>NA</v>
      </c>
      <c r="P54" s="154" t="str">
        <f t="shared" si="75"/>
        <v>NA</v>
      </c>
      <c r="Q54" s="154" t="str">
        <f t="shared" si="76"/>
        <v>NA</v>
      </c>
      <c r="R54" s="154" t="str">
        <f t="shared" si="77"/>
        <v>NA</v>
      </c>
      <c r="S54" s="154" t="str">
        <f t="shared" si="78"/>
        <v>NA</v>
      </c>
      <c r="T54" s="154" t="str">
        <f t="shared" si="79"/>
        <v>NA</v>
      </c>
      <c r="U54" s="154" t="str">
        <f t="shared" si="80"/>
        <v>NA</v>
      </c>
      <c r="W54" s="123">
        <v>109</v>
      </c>
      <c r="X54" s="103" t="s">
        <v>253</v>
      </c>
      <c r="Y54" s="141">
        <f>SUMIFS(TME[[#All],[Member Months]],TME[[#All],[Reporting Year]],2019,TME[[#All],[Insurance Category Code]],4,TME[[#All],[Large Provider Entity Code]],W54)</f>
        <v>0</v>
      </c>
      <c r="Z54" s="152" t="str">
        <f>IFERROR(SUMIFS(TME[[#All],[Total Non-Truncated Claims Spending]],TME[[#All],[Reporting Year]],2019,TME[[#All],[Insurance Category Code]],4,TME[[#All],[Large Provider Entity Code]],W54)/Y54,"NA")</f>
        <v>NA</v>
      </c>
      <c r="AA54" s="152" t="str">
        <f>IFERROR(SUMIFS(TME[[#All],[Total Truncated Claims Spending]],TME[[#All],[Reporting Year]],2019,TME[[#All],[Insurance Category Code]],4,TME[[#All],[Large Provider Entity Code]],W54)/Y54,"NA")</f>
        <v>NA</v>
      </c>
      <c r="AB54" s="152" t="str">
        <f>IFERROR(SUMIFS(TME[[#All],[Total Non-Claims Spending]],TME[[#All],[Reporting Year]],2019,TME[[#All],[Insurance Category Code]],4,TME[[#All],[Large Provider Entity Code]],W54)/Y54,"NA")</f>
        <v>NA</v>
      </c>
      <c r="AC54" s="152" t="str">
        <f>IFERROR(SUMIFS(TME[[#All],[Total Non-Truncated Claims and Non-Claims Spending]],TME[[#All],[Reporting Year]],2019,TME[[#All],[Insurance Category Code]],4,TME[[#All],[Large Provider Entity Code]],W54)/Y54,"NA")</f>
        <v>NA</v>
      </c>
      <c r="AD54" s="152" t="str">
        <f>IFERROR(SUMIFS(TME[[#All],[Truncated Total Expenses (Total Truncated Claims Expenses + Non-Claims Expenses)]],TME[[#All],[Reporting Year]],2019,TME[[#All],[Insurance Category Code]],4,TME[[#All],[Large Provider Entity Code]],W54)/Y54,"NA")</f>
        <v>NA</v>
      </c>
      <c r="AE54" s="141">
        <f>SUMIFS(TME[[#All],[Member Months]],TME[[#All],[Reporting Year]],2020,TME[[#All],[Insurance Category Code]],4,TME[[#All],[Large Provider Entity Code]],W54)</f>
        <v>0</v>
      </c>
      <c r="AF54" s="152" t="str">
        <f>IFERROR(SUMIFS(TME[[#All],[Total Non-Truncated Claims Spending]],TME[[#All],[Reporting Year]],2020,TME[[#All],[Insurance Category Code]],4,TME[[#All],[Large Provider Entity Code]],W54)/AE54,"NA")</f>
        <v>NA</v>
      </c>
      <c r="AG54" s="152" t="str">
        <f>IFERROR(SUMIFS(TME[[#All],[Total Truncated Claims Spending]],TME[[#All],[Reporting Year]],2020,TME[[#All],[Insurance Category Code]],4,TME[[#All],[Large Provider Entity Code]],W54)/AE54,"NA")</f>
        <v>NA</v>
      </c>
      <c r="AH54" s="152" t="str">
        <f>IFERROR(SUMIFS(TME[[#All],[Total Non-Claims Spending]],TME[[#All],[Reporting Year]],2020,TME[[#All],[Insurance Category Code]],4,TME[[#All],[Large Provider Entity Code]],W54)/AE54,"NA")</f>
        <v>NA</v>
      </c>
      <c r="AI54" s="152" t="str">
        <f>IFERROR(SUMIFS(TME[[#All],[Total Non-Truncated Claims and Non-Claims Spending]],TME[[#All],[Reporting Year]],2020,TME[[#All],[Insurance Category Code]],4,TME[[#All],[Large Provider Entity Code]],W54)/AE54,"NA")</f>
        <v>NA</v>
      </c>
      <c r="AJ54" s="152" t="str">
        <f>IFERROR(SUMIFS(TME[[#All],[Truncated Total Expenses (Total Truncated Claims Expenses + Non-Claims Expenses)]],TME[[#All],[Reporting Year]],2020,TME[[#All],[Insurance Category Code]],4,TME[[#All],[Large Provider Entity Code]],W54)/AE54,"NA")</f>
        <v>NA</v>
      </c>
      <c r="AK54" s="154" t="str">
        <f t="shared" si="81"/>
        <v>NA</v>
      </c>
      <c r="AL54" s="154" t="str">
        <f t="shared" si="82"/>
        <v>NA</v>
      </c>
      <c r="AM54" s="154" t="str">
        <f t="shared" si="83"/>
        <v>NA</v>
      </c>
      <c r="AN54" s="154" t="str">
        <f t="shared" si="84"/>
        <v>NA</v>
      </c>
      <c r="AO54" s="154" t="str">
        <f t="shared" si="85"/>
        <v>NA</v>
      </c>
      <c r="AP54" s="154" t="str">
        <f t="shared" si="86"/>
        <v>NA</v>
      </c>
      <c r="AR54" s="123">
        <v>109</v>
      </c>
      <c r="AS54" s="103" t="s">
        <v>253</v>
      </c>
      <c r="AT54" s="141">
        <f>SUMIFS(TME[[#All],[Member Months]],TME[[#All],[Reporting Year]],2020,TME[[#All],[Insurance Category Code]],4,TME[[#All],[Large Provider Entity Code]],AR54)</f>
        <v>0</v>
      </c>
      <c r="AU54" s="152" t="str">
        <f>IFERROR(SUMIFS(TME[[#All],[Total Non-Truncated Claims Spending]],TME[[#All],[Reporting Year]],2020,TME[[#All],[Insurance Category Code]],4,TME[[#All],[Large Provider Entity Code]],AR54)/AT54,"NA")</f>
        <v>NA</v>
      </c>
      <c r="AV54" s="152" t="str">
        <f>IFERROR(SUMIFS(TME[[#All],[Total Truncated Claims Spending]],TME[[#All],[Reporting Year]],2020,TME[[#All],[Insurance Category Code]],4,TME[[#All],[Large Provider Entity Code]],AR54)/AT54,"NA")</f>
        <v>NA</v>
      </c>
      <c r="AW54" s="152" t="str">
        <f>IFERROR(SUMIFS(TME[[#All],[Total Non-Claims Spending]],TME[[#All],[Reporting Year]],2020,TME[[#All],[Insurance Category Code]],4,TME[[#All],[Large Provider Entity Code]],AR54)/AT54,"NA")</f>
        <v>NA</v>
      </c>
      <c r="AX54" s="152" t="str">
        <f>IFERROR(SUMIFS(TME[[#All],[Total Non-Truncated Claims and Non-Claims Spending]],TME[[#All],[Reporting Year]],2020,TME[[#All],[Insurance Category Code]],4,TME[[#All],[Large Provider Entity Code]],AR54)/AT54,"NA")</f>
        <v>NA</v>
      </c>
      <c r="AY54" s="152" t="str">
        <f>IFERROR(SUMIFS(TME[[#All],[Truncated Total Expenses (Total Truncated Claims Expenses + Non-Claims Expenses)]],TME[[#All],[Reporting Year]],2020,TME[[#All],[Insurance Category Code]],4,TME[[#All],[Large Provider Entity Code]],AR54)/AT54,"NA")</f>
        <v>NA</v>
      </c>
      <c r="AZ54" s="141">
        <f>SUMIFS(TME[[#All],[Member Months]],TME[[#All],[Reporting Year]],2021,TME[[#All],[Insurance Category Code]],4,TME[[#All],[Large Provider Entity Code]],AR54)</f>
        <v>0</v>
      </c>
      <c r="BA54" s="152" t="str">
        <f>IFERROR(SUMIFS(TME[[#All],[Total Non-Truncated Claims Spending]],TME[[#All],[Reporting Year]],2021,TME[[#All],[Insurance Category Code]],4,TME[[#All],[Large Provider Entity Code]],AR54)/AZ54,"NA")</f>
        <v>NA</v>
      </c>
      <c r="BB54" s="152" t="str">
        <f>IFERROR(SUMIFS(TME[[#All],[Total Truncated Claims Spending]],TME[[#All],[Reporting Year]],2021,TME[[#All],[Insurance Category Code]],4,TME[[#All],[Large Provider Entity Code]],AR54)/AZ54,"NA")</f>
        <v>NA</v>
      </c>
      <c r="BC54" s="152" t="str">
        <f>IFERROR(SUMIFS(TME[[#All],[Total Non-Claims Spending]],TME[[#All],[Reporting Year]],2021,TME[[#All],[Insurance Category Code]],4,TME[[#All],[Large Provider Entity Code]],AR54)/AZ54,"NA")</f>
        <v>NA</v>
      </c>
      <c r="BD54" s="152" t="str">
        <f>IFERROR(SUMIFS(TME[[#All],[Total Non-Truncated Claims and Non-Claims Spending]],TME[[#All],[Reporting Year]],2021,TME[[#All],[Insurance Category Code]],4,TME[[#All],[Large Provider Entity Code]],AR54)/AZ54,"NA")</f>
        <v>NA</v>
      </c>
      <c r="BE54" s="152" t="str">
        <f>IFERROR(SUMIFS(TME[[#All],[Truncated Total Expenses (Total Truncated Claims Expenses + Non-Claims Expenses)]],TME[[#All],[Reporting Year]],2021,TME[[#All],[Insurance Category Code]],4,TME[[#All],[Large Provider Entity Code]],AR54)/AZ54,"NA")</f>
        <v>NA</v>
      </c>
      <c r="BF54" s="154" t="str">
        <f t="shared" si="87"/>
        <v>NA</v>
      </c>
      <c r="BG54" s="154" t="str">
        <f t="shared" si="88"/>
        <v>NA</v>
      </c>
      <c r="BH54" s="154" t="str">
        <f t="shared" si="89"/>
        <v>NA</v>
      </c>
      <c r="BI54" s="154" t="str">
        <f t="shared" si="90"/>
        <v>NA</v>
      </c>
      <c r="BJ54" s="154" t="str">
        <f t="shared" si="91"/>
        <v>NA</v>
      </c>
      <c r="BK54" s="154" t="str">
        <f t="shared" si="92"/>
        <v>NA</v>
      </c>
    </row>
    <row r="55" spans="2:63" x14ac:dyDescent="0.35">
      <c r="B55" s="123">
        <v>110</v>
      </c>
      <c r="C55" s="103" t="s">
        <v>294</v>
      </c>
      <c r="D55" s="141">
        <f>SUMIFS(TME[[#All],[Member Months]],TME[[#All],[Reporting Year]],2018,TME[[#All],[Insurance Category Code]],4,TME[[#All],[Large Provider Entity Code]],B55)</f>
        <v>0</v>
      </c>
      <c r="E55" s="152" t="str">
        <f>IFERROR(SUMIFS(TME[[#All],[Total Non-Truncated Claims Spending]],TME[[#All],[Reporting Year]],2018,TME[[#All],[Insurance Category Code]],4,TME[[#All],[Large Provider Entity Code]],B55)/D55,"NA")</f>
        <v>NA</v>
      </c>
      <c r="F55" s="152" t="str">
        <f>IFERROR(SUMIFS(TME[[#All],[Total Truncated Claims Spending]],TME[[#All],[Reporting Year]],2018,TME[[#All],[Insurance Category Code]],4,TME[[#All],[Large Provider Entity Code]],B55)/D55,"NA")</f>
        <v>NA</v>
      </c>
      <c r="G55" s="152" t="str">
        <f>IFERROR(SUMIFS(TME[[#All],[Total Non-Claims Spending]],TME[[#All],[Reporting Year]],2018,TME[[#All],[Insurance Category Code]],4,TME[[#All],[Large Provider Entity Code]],B55)/D55,"NA")</f>
        <v>NA</v>
      </c>
      <c r="H55" s="152" t="str">
        <f>IFERROR(SUMIFS(TME[[#All],[Total Non-Truncated Claims and Non-Claims Spending]],TME[[#All],[Reporting Year]],2018,TME[[#All],[Insurance Category Code]],4,TME[[#All],[Large Provider Entity Code]],B55)/D55,"NA")</f>
        <v>NA</v>
      </c>
      <c r="I55" s="152" t="str">
        <f>IFERROR(SUMIFS(TME[[#All],[Truncated Total Expenses (Total Truncated Claims Expenses + Non-Claims Expenses)]],TME[[#All],[Reporting Year]],2018,TME[[#All],[Insurance Category Code]],4,TME[[#All],[Large Provider Entity Code]],B55)/D55,"NA")</f>
        <v>NA</v>
      </c>
      <c r="J55" s="141">
        <f>SUMIFS(TME[[#All],[Member Months]],TME[[#All],[Reporting Year]],2019,TME[[#All],[Insurance Category Code]],4,TME[[#All],[Large Provider Entity Code]],B55)</f>
        <v>0</v>
      </c>
      <c r="K55" s="152" t="str">
        <f>IFERROR(SUMIFS(TME[[#All],[Total Non-Truncated Claims Spending]],TME[[#All],[Reporting Year]],2019,TME[[#All],[Insurance Category Code]],4,TME[[#All],[Large Provider Entity Code]],B55)/J55,"NA")</f>
        <v>NA</v>
      </c>
      <c r="L55" s="152" t="str">
        <f>IFERROR(SUMIFS(TME[[#All],[Total Truncated Claims Spending]],TME[[#All],[Reporting Year]],2019,TME[[#All],[Insurance Category Code]],4,TME[[#All],[Large Provider Entity Code]],B55)/J55,"NA")</f>
        <v>NA</v>
      </c>
      <c r="M55" s="152" t="str">
        <f>IFERROR(SUMIFS(TME[[#All],[Total Non-Claims Spending]],TME[[#All],[Reporting Year]],2019,TME[[#All],[Insurance Category Code]],4,TME[[#All],[Large Provider Entity Code]],B55)/J55,"NA")</f>
        <v>NA</v>
      </c>
      <c r="N55" s="152" t="str">
        <f>IFERROR(SUMIFS(TME[[#All],[Total Non-Truncated Claims and Non-Claims Spending]],TME[[#All],[Reporting Year]],2019,TME[[#All],[Insurance Category Code]],4,TME[[#All],[Large Provider Entity Code]],B55)/J55,"NA")</f>
        <v>NA</v>
      </c>
      <c r="O55" s="152" t="str">
        <f>IFERROR(SUMIFS(TME[[#All],[Truncated Total Expenses (Total Truncated Claims Expenses + Non-Claims Expenses)]],TME[[#All],[Reporting Year]],2019,TME[[#All],[Insurance Category Code]],4,TME[[#All],[Large Provider Entity Code]],B55)/J55,"NA")</f>
        <v>NA</v>
      </c>
      <c r="P55" s="154" t="str">
        <f t="shared" si="75"/>
        <v>NA</v>
      </c>
      <c r="Q55" s="154" t="str">
        <f t="shared" si="76"/>
        <v>NA</v>
      </c>
      <c r="R55" s="154" t="str">
        <f t="shared" si="77"/>
        <v>NA</v>
      </c>
      <c r="S55" s="154" t="str">
        <f t="shared" si="78"/>
        <v>NA</v>
      </c>
      <c r="T55" s="154" t="str">
        <f t="shared" si="79"/>
        <v>NA</v>
      </c>
      <c r="U55" s="154" t="str">
        <f t="shared" si="80"/>
        <v>NA</v>
      </c>
      <c r="W55" s="123">
        <v>110</v>
      </c>
      <c r="X55" s="103" t="s">
        <v>294</v>
      </c>
      <c r="Y55" s="141">
        <f>SUMIFS(TME[[#All],[Member Months]],TME[[#All],[Reporting Year]],2019,TME[[#All],[Insurance Category Code]],4,TME[[#All],[Large Provider Entity Code]],W55)</f>
        <v>0</v>
      </c>
      <c r="Z55" s="152" t="str">
        <f>IFERROR(SUMIFS(TME[[#All],[Total Non-Truncated Claims Spending]],TME[[#All],[Reporting Year]],2019,TME[[#All],[Insurance Category Code]],4,TME[[#All],[Large Provider Entity Code]],W55)/Y55,"NA")</f>
        <v>NA</v>
      </c>
      <c r="AA55" s="152" t="str">
        <f>IFERROR(SUMIFS(TME[[#All],[Total Truncated Claims Spending]],TME[[#All],[Reporting Year]],2019,TME[[#All],[Insurance Category Code]],4,TME[[#All],[Large Provider Entity Code]],W55)/Y55,"NA")</f>
        <v>NA</v>
      </c>
      <c r="AB55" s="152" t="str">
        <f>IFERROR(SUMIFS(TME[[#All],[Total Non-Claims Spending]],TME[[#All],[Reporting Year]],2019,TME[[#All],[Insurance Category Code]],4,TME[[#All],[Large Provider Entity Code]],W55)/Y55,"NA")</f>
        <v>NA</v>
      </c>
      <c r="AC55" s="152" t="str">
        <f>IFERROR(SUMIFS(TME[[#All],[Total Non-Truncated Claims and Non-Claims Spending]],TME[[#All],[Reporting Year]],2019,TME[[#All],[Insurance Category Code]],4,TME[[#All],[Large Provider Entity Code]],W55)/Y55,"NA")</f>
        <v>NA</v>
      </c>
      <c r="AD55" s="152" t="str">
        <f>IFERROR(SUMIFS(TME[[#All],[Truncated Total Expenses (Total Truncated Claims Expenses + Non-Claims Expenses)]],TME[[#All],[Reporting Year]],2019,TME[[#All],[Insurance Category Code]],4,TME[[#All],[Large Provider Entity Code]],W55)/Y55,"NA")</f>
        <v>NA</v>
      </c>
      <c r="AE55" s="141">
        <f>SUMIFS(TME[[#All],[Member Months]],TME[[#All],[Reporting Year]],2020,TME[[#All],[Insurance Category Code]],4,TME[[#All],[Large Provider Entity Code]],W55)</f>
        <v>0</v>
      </c>
      <c r="AF55" s="152" t="str">
        <f>IFERROR(SUMIFS(TME[[#All],[Total Non-Truncated Claims Spending]],TME[[#All],[Reporting Year]],2020,TME[[#All],[Insurance Category Code]],4,TME[[#All],[Large Provider Entity Code]],W55)/AE55,"NA")</f>
        <v>NA</v>
      </c>
      <c r="AG55" s="152" t="str">
        <f>IFERROR(SUMIFS(TME[[#All],[Total Truncated Claims Spending]],TME[[#All],[Reporting Year]],2020,TME[[#All],[Insurance Category Code]],4,TME[[#All],[Large Provider Entity Code]],W55)/AE55,"NA")</f>
        <v>NA</v>
      </c>
      <c r="AH55" s="152" t="str">
        <f>IFERROR(SUMIFS(TME[[#All],[Total Non-Claims Spending]],TME[[#All],[Reporting Year]],2020,TME[[#All],[Insurance Category Code]],4,TME[[#All],[Large Provider Entity Code]],W55)/AE55,"NA")</f>
        <v>NA</v>
      </c>
      <c r="AI55" s="152" t="str">
        <f>IFERROR(SUMIFS(TME[[#All],[Total Non-Truncated Claims and Non-Claims Spending]],TME[[#All],[Reporting Year]],2020,TME[[#All],[Insurance Category Code]],4,TME[[#All],[Large Provider Entity Code]],W55)/AE55,"NA")</f>
        <v>NA</v>
      </c>
      <c r="AJ55" s="152" t="str">
        <f>IFERROR(SUMIFS(TME[[#All],[Truncated Total Expenses (Total Truncated Claims Expenses + Non-Claims Expenses)]],TME[[#All],[Reporting Year]],2020,TME[[#All],[Insurance Category Code]],4,TME[[#All],[Large Provider Entity Code]],W55)/AE55,"NA")</f>
        <v>NA</v>
      </c>
      <c r="AK55" s="154" t="str">
        <f t="shared" si="81"/>
        <v>NA</v>
      </c>
      <c r="AL55" s="154" t="str">
        <f t="shared" si="82"/>
        <v>NA</v>
      </c>
      <c r="AM55" s="154" t="str">
        <f t="shared" si="83"/>
        <v>NA</v>
      </c>
      <c r="AN55" s="154" t="str">
        <f t="shared" si="84"/>
        <v>NA</v>
      </c>
      <c r="AO55" s="154" t="str">
        <f t="shared" si="85"/>
        <v>NA</v>
      </c>
      <c r="AP55" s="154" t="str">
        <f t="shared" si="86"/>
        <v>NA</v>
      </c>
      <c r="AR55" s="123">
        <v>110</v>
      </c>
      <c r="AS55" s="103" t="s">
        <v>294</v>
      </c>
      <c r="AT55" s="141">
        <f>SUMIFS(TME[[#All],[Member Months]],TME[[#All],[Reporting Year]],2020,TME[[#All],[Insurance Category Code]],4,TME[[#All],[Large Provider Entity Code]],AR55)</f>
        <v>0</v>
      </c>
      <c r="AU55" s="152" t="str">
        <f>IFERROR(SUMIFS(TME[[#All],[Total Non-Truncated Claims Spending]],TME[[#All],[Reporting Year]],2020,TME[[#All],[Insurance Category Code]],4,TME[[#All],[Large Provider Entity Code]],AR55)/AT55,"NA")</f>
        <v>NA</v>
      </c>
      <c r="AV55" s="152" t="str">
        <f>IFERROR(SUMIFS(TME[[#All],[Total Truncated Claims Spending]],TME[[#All],[Reporting Year]],2020,TME[[#All],[Insurance Category Code]],4,TME[[#All],[Large Provider Entity Code]],AR55)/AT55,"NA")</f>
        <v>NA</v>
      </c>
      <c r="AW55" s="152" t="str">
        <f>IFERROR(SUMIFS(TME[[#All],[Total Non-Claims Spending]],TME[[#All],[Reporting Year]],2020,TME[[#All],[Insurance Category Code]],4,TME[[#All],[Large Provider Entity Code]],AR55)/AT55,"NA")</f>
        <v>NA</v>
      </c>
      <c r="AX55" s="152" t="str">
        <f>IFERROR(SUMIFS(TME[[#All],[Total Non-Truncated Claims and Non-Claims Spending]],TME[[#All],[Reporting Year]],2020,TME[[#All],[Insurance Category Code]],4,TME[[#All],[Large Provider Entity Code]],AR55)/AT55,"NA")</f>
        <v>NA</v>
      </c>
      <c r="AY55" s="152" t="str">
        <f>IFERROR(SUMIFS(TME[[#All],[Truncated Total Expenses (Total Truncated Claims Expenses + Non-Claims Expenses)]],TME[[#All],[Reporting Year]],2020,TME[[#All],[Insurance Category Code]],4,TME[[#All],[Large Provider Entity Code]],AR55)/AT55,"NA")</f>
        <v>NA</v>
      </c>
      <c r="AZ55" s="141">
        <f>SUMIFS(TME[[#All],[Member Months]],TME[[#All],[Reporting Year]],2021,TME[[#All],[Insurance Category Code]],4,TME[[#All],[Large Provider Entity Code]],AR55)</f>
        <v>0</v>
      </c>
      <c r="BA55" s="152" t="str">
        <f>IFERROR(SUMIFS(TME[[#All],[Total Non-Truncated Claims Spending]],TME[[#All],[Reporting Year]],2021,TME[[#All],[Insurance Category Code]],4,TME[[#All],[Large Provider Entity Code]],AR55)/AZ55,"NA")</f>
        <v>NA</v>
      </c>
      <c r="BB55" s="152" t="str">
        <f>IFERROR(SUMIFS(TME[[#All],[Total Truncated Claims Spending]],TME[[#All],[Reporting Year]],2021,TME[[#All],[Insurance Category Code]],4,TME[[#All],[Large Provider Entity Code]],AR55)/AZ55,"NA")</f>
        <v>NA</v>
      </c>
      <c r="BC55" s="152" t="str">
        <f>IFERROR(SUMIFS(TME[[#All],[Total Non-Claims Spending]],TME[[#All],[Reporting Year]],2021,TME[[#All],[Insurance Category Code]],4,TME[[#All],[Large Provider Entity Code]],AR55)/AZ55,"NA")</f>
        <v>NA</v>
      </c>
      <c r="BD55" s="152" t="str">
        <f>IFERROR(SUMIFS(TME[[#All],[Total Non-Truncated Claims and Non-Claims Spending]],TME[[#All],[Reporting Year]],2021,TME[[#All],[Insurance Category Code]],4,TME[[#All],[Large Provider Entity Code]],AR55)/AZ55,"NA")</f>
        <v>NA</v>
      </c>
      <c r="BE55" s="152" t="str">
        <f>IFERROR(SUMIFS(TME[[#All],[Truncated Total Expenses (Total Truncated Claims Expenses + Non-Claims Expenses)]],TME[[#All],[Reporting Year]],2021,TME[[#All],[Insurance Category Code]],4,TME[[#All],[Large Provider Entity Code]],AR55)/AZ55,"NA")</f>
        <v>NA</v>
      </c>
      <c r="BF55" s="154" t="str">
        <f t="shared" si="87"/>
        <v>NA</v>
      </c>
      <c r="BG55" s="154" t="str">
        <f t="shared" si="88"/>
        <v>NA</v>
      </c>
      <c r="BH55" s="154" t="str">
        <f t="shared" si="89"/>
        <v>NA</v>
      </c>
      <c r="BI55" s="154" t="str">
        <f t="shared" si="90"/>
        <v>NA</v>
      </c>
      <c r="BJ55" s="154" t="str">
        <f t="shared" si="91"/>
        <v>NA</v>
      </c>
      <c r="BK55" s="154" t="str">
        <f t="shared" si="92"/>
        <v>NA</v>
      </c>
    </row>
    <row r="56" spans="2:63" x14ac:dyDescent="0.35">
      <c r="B56" s="123">
        <v>111</v>
      </c>
      <c r="C56" s="103" t="s">
        <v>254</v>
      </c>
      <c r="D56" s="141">
        <f>SUMIFS(TME[[#All],[Member Months]],TME[[#All],[Reporting Year]],2018,TME[[#All],[Insurance Category Code]],4,TME[[#All],[Large Provider Entity Code]],B56)</f>
        <v>0</v>
      </c>
      <c r="E56" s="152" t="str">
        <f>IFERROR(SUMIFS(TME[[#All],[Total Non-Truncated Claims Spending]],TME[[#All],[Reporting Year]],2018,TME[[#All],[Insurance Category Code]],4,TME[[#All],[Large Provider Entity Code]],B56)/D56,"NA")</f>
        <v>NA</v>
      </c>
      <c r="F56" s="152" t="str">
        <f>IFERROR(SUMIFS(TME[[#All],[Total Truncated Claims Spending]],TME[[#All],[Reporting Year]],2018,TME[[#All],[Insurance Category Code]],4,TME[[#All],[Large Provider Entity Code]],B56)/D56,"NA")</f>
        <v>NA</v>
      </c>
      <c r="G56" s="152" t="str">
        <f>IFERROR(SUMIFS(TME[[#All],[Total Non-Claims Spending]],TME[[#All],[Reporting Year]],2018,TME[[#All],[Insurance Category Code]],4,TME[[#All],[Large Provider Entity Code]],B56)/D56,"NA")</f>
        <v>NA</v>
      </c>
      <c r="H56" s="152" t="str">
        <f>IFERROR(SUMIFS(TME[[#All],[Total Non-Truncated Claims and Non-Claims Spending]],TME[[#All],[Reporting Year]],2018,TME[[#All],[Insurance Category Code]],4,TME[[#All],[Large Provider Entity Code]],B56)/D56,"NA")</f>
        <v>NA</v>
      </c>
      <c r="I56" s="152" t="str">
        <f>IFERROR(SUMIFS(TME[[#All],[Truncated Total Expenses (Total Truncated Claims Expenses + Non-Claims Expenses)]],TME[[#All],[Reporting Year]],2018,TME[[#All],[Insurance Category Code]],4,TME[[#All],[Large Provider Entity Code]],B56)/D56,"NA")</f>
        <v>NA</v>
      </c>
      <c r="J56" s="141">
        <f>SUMIFS(TME[[#All],[Member Months]],TME[[#All],[Reporting Year]],2019,TME[[#All],[Insurance Category Code]],4,TME[[#All],[Large Provider Entity Code]],B56)</f>
        <v>0</v>
      </c>
      <c r="K56" s="152" t="str">
        <f>IFERROR(SUMIFS(TME[[#All],[Total Non-Truncated Claims Spending]],TME[[#All],[Reporting Year]],2019,TME[[#All],[Insurance Category Code]],4,TME[[#All],[Large Provider Entity Code]],B56)/J56,"NA")</f>
        <v>NA</v>
      </c>
      <c r="L56" s="152" t="str">
        <f>IFERROR(SUMIFS(TME[[#All],[Total Truncated Claims Spending]],TME[[#All],[Reporting Year]],2019,TME[[#All],[Insurance Category Code]],4,TME[[#All],[Large Provider Entity Code]],B56)/J56,"NA")</f>
        <v>NA</v>
      </c>
      <c r="M56" s="152" t="str">
        <f>IFERROR(SUMIFS(TME[[#All],[Total Non-Claims Spending]],TME[[#All],[Reporting Year]],2019,TME[[#All],[Insurance Category Code]],4,TME[[#All],[Large Provider Entity Code]],B56)/J56,"NA")</f>
        <v>NA</v>
      </c>
      <c r="N56" s="152" t="str">
        <f>IFERROR(SUMIFS(TME[[#All],[Total Non-Truncated Claims and Non-Claims Spending]],TME[[#All],[Reporting Year]],2019,TME[[#All],[Insurance Category Code]],4,TME[[#All],[Large Provider Entity Code]],B56)/J56,"NA")</f>
        <v>NA</v>
      </c>
      <c r="O56" s="152" t="str">
        <f>IFERROR(SUMIFS(TME[[#All],[Truncated Total Expenses (Total Truncated Claims Expenses + Non-Claims Expenses)]],TME[[#All],[Reporting Year]],2019,TME[[#All],[Insurance Category Code]],4,TME[[#All],[Large Provider Entity Code]],B56)/J56,"NA")</f>
        <v>NA</v>
      </c>
      <c r="P56" s="154" t="str">
        <f t="shared" si="75"/>
        <v>NA</v>
      </c>
      <c r="Q56" s="154" t="str">
        <f t="shared" si="76"/>
        <v>NA</v>
      </c>
      <c r="R56" s="154" t="str">
        <f t="shared" si="77"/>
        <v>NA</v>
      </c>
      <c r="S56" s="154" t="str">
        <f t="shared" si="78"/>
        <v>NA</v>
      </c>
      <c r="T56" s="154" t="str">
        <f t="shared" si="79"/>
        <v>NA</v>
      </c>
      <c r="U56" s="154" t="str">
        <f t="shared" si="80"/>
        <v>NA</v>
      </c>
      <c r="W56" s="123">
        <v>111</v>
      </c>
      <c r="X56" s="103" t="s">
        <v>254</v>
      </c>
      <c r="Y56" s="141">
        <f>SUMIFS(TME[[#All],[Member Months]],TME[[#All],[Reporting Year]],2019,TME[[#All],[Insurance Category Code]],4,TME[[#All],[Large Provider Entity Code]],W56)</f>
        <v>0</v>
      </c>
      <c r="Z56" s="152" t="str">
        <f>IFERROR(SUMIFS(TME[[#All],[Total Non-Truncated Claims Spending]],TME[[#All],[Reporting Year]],2019,TME[[#All],[Insurance Category Code]],4,TME[[#All],[Large Provider Entity Code]],W56)/Y56,"NA")</f>
        <v>NA</v>
      </c>
      <c r="AA56" s="152" t="str">
        <f>IFERROR(SUMIFS(TME[[#All],[Total Truncated Claims Spending]],TME[[#All],[Reporting Year]],2019,TME[[#All],[Insurance Category Code]],4,TME[[#All],[Large Provider Entity Code]],W56)/Y56,"NA")</f>
        <v>NA</v>
      </c>
      <c r="AB56" s="152" t="str">
        <f>IFERROR(SUMIFS(TME[[#All],[Total Non-Claims Spending]],TME[[#All],[Reporting Year]],2019,TME[[#All],[Insurance Category Code]],4,TME[[#All],[Large Provider Entity Code]],W56)/Y56,"NA")</f>
        <v>NA</v>
      </c>
      <c r="AC56" s="152" t="str">
        <f>IFERROR(SUMIFS(TME[[#All],[Total Non-Truncated Claims and Non-Claims Spending]],TME[[#All],[Reporting Year]],2019,TME[[#All],[Insurance Category Code]],4,TME[[#All],[Large Provider Entity Code]],W56)/Y56,"NA")</f>
        <v>NA</v>
      </c>
      <c r="AD56" s="152" t="str">
        <f>IFERROR(SUMIFS(TME[[#All],[Truncated Total Expenses (Total Truncated Claims Expenses + Non-Claims Expenses)]],TME[[#All],[Reporting Year]],2019,TME[[#All],[Insurance Category Code]],4,TME[[#All],[Large Provider Entity Code]],W56)/Y56,"NA")</f>
        <v>NA</v>
      </c>
      <c r="AE56" s="141">
        <f>SUMIFS(TME[[#All],[Member Months]],TME[[#All],[Reporting Year]],2020,TME[[#All],[Insurance Category Code]],4,TME[[#All],[Large Provider Entity Code]],W56)</f>
        <v>0</v>
      </c>
      <c r="AF56" s="152" t="str">
        <f>IFERROR(SUMIFS(TME[[#All],[Total Non-Truncated Claims Spending]],TME[[#All],[Reporting Year]],2020,TME[[#All],[Insurance Category Code]],4,TME[[#All],[Large Provider Entity Code]],W56)/AE56,"NA")</f>
        <v>NA</v>
      </c>
      <c r="AG56" s="152" t="str">
        <f>IFERROR(SUMIFS(TME[[#All],[Total Truncated Claims Spending]],TME[[#All],[Reporting Year]],2020,TME[[#All],[Insurance Category Code]],4,TME[[#All],[Large Provider Entity Code]],W56)/AE56,"NA")</f>
        <v>NA</v>
      </c>
      <c r="AH56" s="152" t="str">
        <f>IFERROR(SUMIFS(TME[[#All],[Total Non-Claims Spending]],TME[[#All],[Reporting Year]],2020,TME[[#All],[Insurance Category Code]],4,TME[[#All],[Large Provider Entity Code]],W56)/AE56,"NA")</f>
        <v>NA</v>
      </c>
      <c r="AI56" s="152" t="str">
        <f>IFERROR(SUMIFS(TME[[#All],[Total Non-Truncated Claims and Non-Claims Spending]],TME[[#All],[Reporting Year]],2020,TME[[#All],[Insurance Category Code]],4,TME[[#All],[Large Provider Entity Code]],W56)/AE56,"NA")</f>
        <v>NA</v>
      </c>
      <c r="AJ56" s="152" t="str">
        <f>IFERROR(SUMIFS(TME[[#All],[Truncated Total Expenses (Total Truncated Claims Expenses + Non-Claims Expenses)]],TME[[#All],[Reporting Year]],2020,TME[[#All],[Insurance Category Code]],4,TME[[#All],[Large Provider Entity Code]],W56)/AE56,"NA")</f>
        <v>NA</v>
      </c>
      <c r="AK56" s="154" t="str">
        <f t="shared" si="81"/>
        <v>NA</v>
      </c>
      <c r="AL56" s="154" t="str">
        <f t="shared" si="82"/>
        <v>NA</v>
      </c>
      <c r="AM56" s="154" t="str">
        <f t="shared" si="83"/>
        <v>NA</v>
      </c>
      <c r="AN56" s="154" t="str">
        <f t="shared" si="84"/>
        <v>NA</v>
      </c>
      <c r="AO56" s="154" t="str">
        <f t="shared" si="85"/>
        <v>NA</v>
      </c>
      <c r="AP56" s="154" t="str">
        <f t="shared" si="86"/>
        <v>NA</v>
      </c>
      <c r="AR56" s="123">
        <v>111</v>
      </c>
      <c r="AS56" s="103" t="s">
        <v>254</v>
      </c>
      <c r="AT56" s="141">
        <f>SUMIFS(TME[[#All],[Member Months]],TME[[#All],[Reporting Year]],2020,TME[[#All],[Insurance Category Code]],4,TME[[#All],[Large Provider Entity Code]],AR56)</f>
        <v>0</v>
      </c>
      <c r="AU56" s="152" t="str">
        <f>IFERROR(SUMIFS(TME[[#All],[Total Non-Truncated Claims Spending]],TME[[#All],[Reporting Year]],2020,TME[[#All],[Insurance Category Code]],4,TME[[#All],[Large Provider Entity Code]],AR56)/AT56,"NA")</f>
        <v>NA</v>
      </c>
      <c r="AV56" s="152" t="str">
        <f>IFERROR(SUMIFS(TME[[#All],[Total Truncated Claims Spending]],TME[[#All],[Reporting Year]],2020,TME[[#All],[Insurance Category Code]],4,TME[[#All],[Large Provider Entity Code]],AR56)/AT56,"NA")</f>
        <v>NA</v>
      </c>
      <c r="AW56" s="152" t="str">
        <f>IFERROR(SUMIFS(TME[[#All],[Total Non-Claims Spending]],TME[[#All],[Reporting Year]],2020,TME[[#All],[Insurance Category Code]],4,TME[[#All],[Large Provider Entity Code]],AR56)/AT56,"NA")</f>
        <v>NA</v>
      </c>
      <c r="AX56" s="152" t="str">
        <f>IFERROR(SUMIFS(TME[[#All],[Total Non-Truncated Claims and Non-Claims Spending]],TME[[#All],[Reporting Year]],2020,TME[[#All],[Insurance Category Code]],4,TME[[#All],[Large Provider Entity Code]],AR56)/AT56,"NA")</f>
        <v>NA</v>
      </c>
      <c r="AY56" s="152" t="str">
        <f>IFERROR(SUMIFS(TME[[#All],[Truncated Total Expenses (Total Truncated Claims Expenses + Non-Claims Expenses)]],TME[[#All],[Reporting Year]],2020,TME[[#All],[Insurance Category Code]],4,TME[[#All],[Large Provider Entity Code]],AR56)/AT56,"NA")</f>
        <v>NA</v>
      </c>
      <c r="AZ56" s="141">
        <f>SUMIFS(TME[[#All],[Member Months]],TME[[#All],[Reporting Year]],2021,TME[[#All],[Insurance Category Code]],4,TME[[#All],[Large Provider Entity Code]],AR56)</f>
        <v>0</v>
      </c>
      <c r="BA56" s="152" t="str">
        <f>IFERROR(SUMIFS(TME[[#All],[Total Non-Truncated Claims Spending]],TME[[#All],[Reporting Year]],2021,TME[[#All],[Insurance Category Code]],4,TME[[#All],[Large Provider Entity Code]],AR56)/AZ56,"NA")</f>
        <v>NA</v>
      </c>
      <c r="BB56" s="152" t="str">
        <f>IFERROR(SUMIFS(TME[[#All],[Total Truncated Claims Spending]],TME[[#All],[Reporting Year]],2021,TME[[#All],[Insurance Category Code]],4,TME[[#All],[Large Provider Entity Code]],AR56)/AZ56,"NA")</f>
        <v>NA</v>
      </c>
      <c r="BC56" s="152" t="str">
        <f>IFERROR(SUMIFS(TME[[#All],[Total Non-Claims Spending]],TME[[#All],[Reporting Year]],2021,TME[[#All],[Insurance Category Code]],4,TME[[#All],[Large Provider Entity Code]],AR56)/AZ56,"NA")</f>
        <v>NA</v>
      </c>
      <c r="BD56" s="152" t="str">
        <f>IFERROR(SUMIFS(TME[[#All],[Total Non-Truncated Claims and Non-Claims Spending]],TME[[#All],[Reporting Year]],2021,TME[[#All],[Insurance Category Code]],4,TME[[#All],[Large Provider Entity Code]],AR56)/AZ56,"NA")</f>
        <v>NA</v>
      </c>
      <c r="BE56" s="152" t="str">
        <f>IFERROR(SUMIFS(TME[[#All],[Truncated Total Expenses (Total Truncated Claims Expenses + Non-Claims Expenses)]],TME[[#All],[Reporting Year]],2021,TME[[#All],[Insurance Category Code]],4,TME[[#All],[Large Provider Entity Code]],AR56)/AZ56,"NA")</f>
        <v>NA</v>
      </c>
      <c r="BF56" s="154" t="str">
        <f t="shared" si="87"/>
        <v>NA</v>
      </c>
      <c r="BG56" s="154" t="str">
        <f t="shared" si="88"/>
        <v>NA</v>
      </c>
      <c r="BH56" s="154" t="str">
        <f t="shared" si="89"/>
        <v>NA</v>
      </c>
      <c r="BI56" s="154" t="str">
        <f t="shared" si="90"/>
        <v>NA</v>
      </c>
      <c r="BJ56" s="154" t="str">
        <f t="shared" si="91"/>
        <v>NA</v>
      </c>
      <c r="BK56" s="154" t="str">
        <f t="shared" si="92"/>
        <v>NA</v>
      </c>
    </row>
    <row r="57" spans="2:63" x14ac:dyDescent="0.35">
      <c r="B57" s="181">
        <v>999</v>
      </c>
      <c r="C57" s="103" t="s">
        <v>42</v>
      </c>
      <c r="D57" s="141">
        <f>SUMIFS(TME[[#All],[Member Months]],TME[[#All],[Reporting Year]],2018,TME[[#All],[Insurance Category Code]],4,TME[[#All],[Large Provider Entity Code]],B57)</f>
        <v>0</v>
      </c>
      <c r="E57" s="152" t="str">
        <f>IFERROR(SUMIFS(TME[[#All],[Total Non-Truncated Claims Spending]],TME[[#All],[Reporting Year]],2018,TME[[#All],[Insurance Category Code]],4,TME[[#All],[Large Provider Entity Code]],B57)/D57,"NA")</f>
        <v>NA</v>
      </c>
      <c r="F57" s="152" t="str">
        <f>IFERROR(SUMIFS(TME[[#All],[Total Truncated Claims Spending]],TME[[#All],[Reporting Year]],2018,TME[[#All],[Insurance Category Code]],4,TME[[#All],[Large Provider Entity Code]],B57)/D57,"NA")</f>
        <v>NA</v>
      </c>
      <c r="G57" s="152" t="str">
        <f>IFERROR(SUMIFS(TME[[#All],[Total Non-Claims Spending]],TME[[#All],[Reporting Year]],2018,TME[[#All],[Insurance Category Code]],4,TME[[#All],[Large Provider Entity Code]],B57)/D57,"NA")</f>
        <v>NA</v>
      </c>
      <c r="H57" s="152" t="str">
        <f>IFERROR(SUMIFS(TME[[#All],[Total Non-Truncated Claims and Non-Claims Spending]],TME[[#All],[Reporting Year]],2018,TME[[#All],[Insurance Category Code]],4,TME[[#All],[Large Provider Entity Code]],B57)/D57,"NA")</f>
        <v>NA</v>
      </c>
      <c r="I57" s="152" t="str">
        <f>IFERROR(SUMIFS(TME[[#All],[Truncated Total Expenses (Total Truncated Claims Expenses + Non-Claims Expenses)]],TME[[#All],[Reporting Year]],2018,TME[[#All],[Insurance Category Code]],4,TME[[#All],[Large Provider Entity Code]],B57)/D57,"NA")</f>
        <v>NA</v>
      </c>
      <c r="J57" s="141">
        <f>SUMIFS(TME[[#All],[Member Months]],TME[[#All],[Reporting Year]],2019,TME[[#All],[Insurance Category Code]],4,TME[[#All],[Large Provider Entity Code]],B57)</f>
        <v>0</v>
      </c>
      <c r="K57" s="152" t="str">
        <f>IFERROR(SUMIFS(TME[[#All],[Total Non-Truncated Claims Spending]],TME[[#All],[Reporting Year]],2019,TME[[#All],[Insurance Category Code]],4,TME[[#All],[Large Provider Entity Code]],B57)/J57,"NA")</f>
        <v>NA</v>
      </c>
      <c r="L57" s="152" t="str">
        <f>IFERROR(SUMIFS(TME[[#All],[Total Truncated Claims Spending]],TME[[#All],[Reporting Year]],2019,TME[[#All],[Insurance Category Code]],4,TME[[#All],[Large Provider Entity Code]],B57)/J57,"NA")</f>
        <v>NA</v>
      </c>
      <c r="M57" s="152" t="str">
        <f>IFERROR(SUMIFS(TME[[#All],[Total Non-Claims Spending]],TME[[#All],[Reporting Year]],2019,TME[[#All],[Insurance Category Code]],4,TME[[#All],[Large Provider Entity Code]],B57)/J57,"NA")</f>
        <v>NA</v>
      </c>
      <c r="N57" s="152" t="str">
        <f>IFERROR(SUMIFS(TME[[#All],[Total Non-Truncated Claims and Non-Claims Spending]],TME[[#All],[Reporting Year]],2019,TME[[#All],[Insurance Category Code]],4,TME[[#All],[Large Provider Entity Code]],B57)/J57,"NA")</f>
        <v>NA</v>
      </c>
      <c r="O57" s="152" t="str">
        <f>IFERROR(SUMIFS(TME[[#All],[Truncated Total Expenses (Total Truncated Claims Expenses + Non-Claims Expenses)]],TME[[#All],[Reporting Year]],2019,TME[[#All],[Insurance Category Code]],4,TME[[#All],[Large Provider Entity Code]],B57)/J57,"NA")</f>
        <v>NA</v>
      </c>
      <c r="P57" s="154" t="str">
        <f t="shared" si="75"/>
        <v>NA</v>
      </c>
      <c r="Q57" s="154" t="str">
        <f t="shared" si="76"/>
        <v>NA</v>
      </c>
      <c r="R57" s="154" t="str">
        <f t="shared" si="77"/>
        <v>NA</v>
      </c>
      <c r="S57" s="154" t="str">
        <f t="shared" si="78"/>
        <v>NA</v>
      </c>
      <c r="T57" s="154" t="str">
        <f t="shared" si="79"/>
        <v>NA</v>
      </c>
      <c r="U57" s="154" t="str">
        <f t="shared" si="80"/>
        <v>NA</v>
      </c>
      <c r="W57" s="123">
        <v>999</v>
      </c>
      <c r="X57" s="103" t="s">
        <v>42</v>
      </c>
      <c r="Y57" s="141">
        <f>SUMIFS(TME[[#All],[Member Months]],TME[[#All],[Reporting Year]],2019,TME[[#All],[Insurance Category Code]],4,TME[[#All],[Large Provider Entity Code]],W57)</f>
        <v>0</v>
      </c>
      <c r="Z57" s="152" t="str">
        <f>IFERROR(SUMIFS(TME[[#All],[Total Non-Truncated Claims Spending]],TME[[#All],[Reporting Year]],2019,TME[[#All],[Insurance Category Code]],4,TME[[#All],[Large Provider Entity Code]],W57)/Y57,"NA")</f>
        <v>NA</v>
      </c>
      <c r="AA57" s="152" t="str">
        <f>IFERROR(SUMIFS(TME[[#All],[Total Truncated Claims Spending]],TME[[#All],[Reporting Year]],2019,TME[[#All],[Insurance Category Code]],4,TME[[#All],[Large Provider Entity Code]],W57)/Y57,"NA")</f>
        <v>NA</v>
      </c>
      <c r="AB57" s="152" t="str">
        <f>IFERROR(SUMIFS(TME[[#All],[Total Non-Claims Spending]],TME[[#All],[Reporting Year]],2019,TME[[#All],[Insurance Category Code]],4,TME[[#All],[Large Provider Entity Code]],W57)/Y57,"NA")</f>
        <v>NA</v>
      </c>
      <c r="AC57" s="152" t="str">
        <f>IFERROR(SUMIFS(TME[[#All],[Total Non-Truncated Claims and Non-Claims Spending]],TME[[#All],[Reporting Year]],2019,TME[[#All],[Insurance Category Code]],4,TME[[#All],[Large Provider Entity Code]],W57)/Y57,"NA")</f>
        <v>NA</v>
      </c>
      <c r="AD57" s="152" t="str">
        <f>IFERROR(SUMIFS(TME[[#All],[Truncated Total Expenses (Total Truncated Claims Expenses + Non-Claims Expenses)]],TME[[#All],[Reporting Year]],2019,TME[[#All],[Insurance Category Code]],4,TME[[#All],[Large Provider Entity Code]],W57)/Y57,"NA")</f>
        <v>NA</v>
      </c>
      <c r="AE57" s="141">
        <f>SUMIFS(TME[[#All],[Member Months]],TME[[#All],[Reporting Year]],2020,TME[[#All],[Insurance Category Code]],4,TME[[#All],[Large Provider Entity Code]],W57)</f>
        <v>0</v>
      </c>
      <c r="AF57" s="152" t="str">
        <f>IFERROR(SUMIFS(TME[[#All],[Total Non-Truncated Claims Spending]],TME[[#All],[Reporting Year]],2020,TME[[#All],[Insurance Category Code]],4,TME[[#All],[Large Provider Entity Code]],W57)/AE57,"NA")</f>
        <v>NA</v>
      </c>
      <c r="AG57" s="152" t="str">
        <f>IFERROR(SUMIFS(TME[[#All],[Total Truncated Claims Spending]],TME[[#All],[Reporting Year]],2020,TME[[#All],[Insurance Category Code]],4,TME[[#All],[Large Provider Entity Code]],W57)/AE57,"NA")</f>
        <v>NA</v>
      </c>
      <c r="AH57" s="152" t="str">
        <f>IFERROR(SUMIFS(TME[[#All],[Total Non-Claims Spending]],TME[[#All],[Reporting Year]],2020,TME[[#All],[Insurance Category Code]],4,TME[[#All],[Large Provider Entity Code]],W57)/AE57,"NA")</f>
        <v>NA</v>
      </c>
      <c r="AI57" s="152" t="str">
        <f>IFERROR(SUMIFS(TME[[#All],[Total Non-Truncated Claims and Non-Claims Spending]],TME[[#All],[Reporting Year]],2020,TME[[#All],[Insurance Category Code]],4,TME[[#All],[Large Provider Entity Code]],W57)/AE57,"NA")</f>
        <v>NA</v>
      </c>
      <c r="AJ57" s="152" t="str">
        <f>IFERROR(SUMIFS(TME[[#All],[Truncated Total Expenses (Total Truncated Claims Expenses + Non-Claims Expenses)]],TME[[#All],[Reporting Year]],2020,TME[[#All],[Insurance Category Code]],4,TME[[#All],[Large Provider Entity Code]],W57)/AE57,"NA")</f>
        <v>NA</v>
      </c>
      <c r="AK57" s="154" t="str">
        <f t="shared" si="81"/>
        <v>NA</v>
      </c>
      <c r="AL57" s="154" t="str">
        <f t="shared" si="82"/>
        <v>NA</v>
      </c>
      <c r="AM57" s="154" t="str">
        <f t="shared" si="83"/>
        <v>NA</v>
      </c>
      <c r="AN57" s="154" t="str">
        <f t="shared" si="84"/>
        <v>NA</v>
      </c>
      <c r="AO57" s="154" t="str">
        <f t="shared" si="85"/>
        <v>NA</v>
      </c>
      <c r="AP57" s="154" t="str">
        <f t="shared" si="86"/>
        <v>NA</v>
      </c>
      <c r="AR57" s="123">
        <v>999</v>
      </c>
      <c r="AS57" s="103" t="s">
        <v>42</v>
      </c>
      <c r="AT57" s="141">
        <f>SUMIFS(TME[[#All],[Member Months]],TME[[#All],[Reporting Year]],2020,TME[[#All],[Insurance Category Code]],4,TME[[#All],[Large Provider Entity Code]],AR57)</f>
        <v>0</v>
      </c>
      <c r="AU57" s="152" t="str">
        <f>IFERROR(SUMIFS(TME[[#All],[Total Non-Truncated Claims Spending]],TME[[#All],[Reporting Year]],2020,TME[[#All],[Insurance Category Code]],4,TME[[#All],[Large Provider Entity Code]],AR57)/AT57,"NA")</f>
        <v>NA</v>
      </c>
      <c r="AV57" s="152" t="str">
        <f>IFERROR(SUMIFS(TME[[#All],[Total Truncated Claims Spending]],TME[[#All],[Reporting Year]],2020,TME[[#All],[Insurance Category Code]],4,TME[[#All],[Large Provider Entity Code]],AR57)/AT57,"NA")</f>
        <v>NA</v>
      </c>
      <c r="AW57" s="152" t="str">
        <f>IFERROR(SUMIFS(TME[[#All],[Total Non-Claims Spending]],TME[[#All],[Reporting Year]],2020,TME[[#All],[Insurance Category Code]],4,TME[[#All],[Large Provider Entity Code]],AR57)/AT57,"NA")</f>
        <v>NA</v>
      </c>
      <c r="AX57" s="152" t="str">
        <f>IFERROR(SUMIFS(TME[[#All],[Total Non-Truncated Claims and Non-Claims Spending]],TME[[#All],[Reporting Year]],2020,TME[[#All],[Insurance Category Code]],4,TME[[#All],[Large Provider Entity Code]],AR57)/AT57,"NA")</f>
        <v>NA</v>
      </c>
      <c r="AY57" s="152" t="str">
        <f>IFERROR(SUMIFS(TME[[#All],[Truncated Total Expenses (Total Truncated Claims Expenses + Non-Claims Expenses)]],TME[[#All],[Reporting Year]],2020,TME[[#All],[Insurance Category Code]],4,TME[[#All],[Large Provider Entity Code]],AR57)/AT57,"NA")</f>
        <v>NA</v>
      </c>
      <c r="AZ57" s="141">
        <f>SUMIFS(TME[[#All],[Member Months]],TME[[#All],[Reporting Year]],2021,TME[[#All],[Insurance Category Code]],4,TME[[#All],[Large Provider Entity Code]],AR57)</f>
        <v>0</v>
      </c>
      <c r="BA57" s="152" t="str">
        <f>IFERROR(SUMIFS(TME[[#All],[Total Non-Truncated Claims Spending]],TME[[#All],[Reporting Year]],2021,TME[[#All],[Insurance Category Code]],4,TME[[#All],[Large Provider Entity Code]],AR57)/AZ57,"NA")</f>
        <v>NA</v>
      </c>
      <c r="BB57" s="152" t="str">
        <f>IFERROR(SUMIFS(TME[[#All],[Total Truncated Claims Spending]],TME[[#All],[Reporting Year]],2021,TME[[#All],[Insurance Category Code]],4,TME[[#All],[Large Provider Entity Code]],AR57)/AZ57,"NA")</f>
        <v>NA</v>
      </c>
      <c r="BC57" s="152" t="str">
        <f>IFERROR(SUMIFS(TME[[#All],[Total Non-Claims Spending]],TME[[#All],[Reporting Year]],2021,TME[[#All],[Insurance Category Code]],4,TME[[#All],[Large Provider Entity Code]],AR57)/AZ57,"NA")</f>
        <v>NA</v>
      </c>
      <c r="BD57" s="152" t="str">
        <f>IFERROR(SUMIFS(TME[[#All],[Total Non-Truncated Claims and Non-Claims Spending]],TME[[#All],[Reporting Year]],2021,TME[[#All],[Insurance Category Code]],4,TME[[#All],[Large Provider Entity Code]],AR57)/AZ57,"NA")</f>
        <v>NA</v>
      </c>
      <c r="BE57" s="152" t="str">
        <f>IFERROR(SUMIFS(TME[[#All],[Truncated Total Expenses (Total Truncated Claims Expenses + Non-Claims Expenses)]],TME[[#All],[Reporting Year]],2021,TME[[#All],[Insurance Category Code]],4,TME[[#All],[Large Provider Entity Code]],AR57)/AZ57,"NA")</f>
        <v>NA</v>
      </c>
      <c r="BF57" s="154" t="str">
        <f t="shared" si="87"/>
        <v>NA</v>
      </c>
      <c r="BG57" s="154" t="str">
        <f t="shared" si="88"/>
        <v>NA</v>
      </c>
      <c r="BH57" s="154" t="str">
        <f t="shared" si="89"/>
        <v>NA</v>
      </c>
      <c r="BI57" s="154" t="str">
        <f t="shared" si="90"/>
        <v>NA</v>
      </c>
      <c r="BJ57" s="154" t="str">
        <f t="shared" si="91"/>
        <v>NA</v>
      </c>
      <c r="BK57" s="154" t="str">
        <f t="shared" si="92"/>
        <v>NA</v>
      </c>
    </row>
    <row r="58" spans="2:63" x14ac:dyDescent="0.35">
      <c r="B58" s="79"/>
      <c r="C58" s="79" t="s">
        <v>245</v>
      </c>
      <c r="D58" s="151">
        <f>SUM(D46:D57)</f>
        <v>0</v>
      </c>
      <c r="E58" s="153" t="str">
        <f>IFERROR((SUMPRODUCT(E46:E57,D46:D57)/D58),"NA")</f>
        <v>NA</v>
      </c>
      <c r="F58" s="153" t="str">
        <f>IFERROR((SUMPRODUCT(F46:F57,D46:D57)/D58),"NA")</f>
        <v>NA</v>
      </c>
      <c r="G58" s="153" t="str">
        <f>IFERROR((SUMPRODUCT(G46:G57,D46:D57)/D58),"NA")</f>
        <v>NA</v>
      </c>
      <c r="H58" s="153" t="str">
        <f>IFERROR((SUMPRODUCT(H46:H57,D46:D57)/D58),"NA")</f>
        <v>NA</v>
      </c>
      <c r="I58" s="153" t="str">
        <f>IFERROR((SUMPRODUCT(I46:I57,D46:D57)/D58),"NA")</f>
        <v>NA</v>
      </c>
      <c r="J58" s="151">
        <f>SUM(J46:J57)</f>
        <v>0</v>
      </c>
      <c r="K58" s="153" t="str">
        <f>IFERROR((SUMPRODUCT(K46:K57,J46:J57)/J58),"NA")</f>
        <v>NA</v>
      </c>
      <c r="L58" s="153" t="str">
        <f>IFERROR((SUMPRODUCT(L46:L57,J46:J57)/J58),"NA")</f>
        <v>NA</v>
      </c>
      <c r="M58" s="153" t="str">
        <f>IFERROR((SUMPRODUCT(M46:M57,J46:J57)/J58),"NA")</f>
        <v>NA</v>
      </c>
      <c r="N58" s="153" t="str">
        <f>IFERROR((SUMPRODUCT(N46:N57,J46:J57)/J58),"NA")</f>
        <v>NA</v>
      </c>
      <c r="O58" s="153" t="str">
        <f>IFERROR((SUMPRODUCT(O46:O57,J46:J57)/J58),"NA")</f>
        <v>NA</v>
      </c>
      <c r="P58" s="155" t="str">
        <f t="shared" si="75"/>
        <v>NA</v>
      </c>
      <c r="Q58" s="155" t="str">
        <f t="shared" si="76"/>
        <v>NA</v>
      </c>
      <c r="R58" s="155" t="str">
        <f t="shared" si="77"/>
        <v>NA</v>
      </c>
      <c r="S58" s="155" t="str">
        <f t="shared" si="78"/>
        <v>NA</v>
      </c>
      <c r="T58" s="155" t="str">
        <f t="shared" si="79"/>
        <v>NA</v>
      </c>
      <c r="U58" s="155" t="str">
        <f t="shared" si="80"/>
        <v>NA</v>
      </c>
      <c r="W58" s="79"/>
      <c r="X58" s="79" t="s">
        <v>245</v>
      </c>
      <c r="Y58" s="151">
        <f>SUM(Y46:Y57)</f>
        <v>0</v>
      </c>
      <c r="Z58" s="153" t="str">
        <f>IFERROR((SUMPRODUCT(Z46:Z57,Y46:Y57)/Y58),"NA")</f>
        <v>NA</v>
      </c>
      <c r="AA58" s="153" t="str">
        <f>IFERROR((SUMPRODUCT(AA46:AA57,Y46:Y57)/Y58),"NA")</f>
        <v>NA</v>
      </c>
      <c r="AB58" s="153" t="str">
        <f>IFERROR((SUMPRODUCT(AB46:AB57,Y46:Y57)/Y58),"NA")</f>
        <v>NA</v>
      </c>
      <c r="AC58" s="153" t="str">
        <f>IFERROR((SUMPRODUCT(AC46:AC57,Y46:Y57)/Y58),"NA")</f>
        <v>NA</v>
      </c>
      <c r="AD58" s="153" t="str">
        <f>IFERROR((SUMPRODUCT(AD46:AD57,Y46:Y57)/Y58),"NA")</f>
        <v>NA</v>
      </c>
      <c r="AE58" s="151">
        <f>SUM(AE46:AE57)</f>
        <v>0</v>
      </c>
      <c r="AF58" s="153" t="str">
        <f>IFERROR((SUMPRODUCT(AF46:AF57,AE46:AE57)/AE58),"NA")</f>
        <v>NA</v>
      </c>
      <c r="AG58" s="153" t="str">
        <f>IFERROR((SUMPRODUCT(AG46:AG57,AE46:AE57)/AE58),"NA")</f>
        <v>NA</v>
      </c>
      <c r="AH58" s="153" t="str">
        <f>IFERROR((SUMPRODUCT(AH46:AH57,AE46:AE57)/AE58),"NA")</f>
        <v>NA</v>
      </c>
      <c r="AI58" s="153" t="str">
        <f>IFERROR((SUMPRODUCT(AI46:AI57,AE46:AE57)/AE58),"NA")</f>
        <v>NA</v>
      </c>
      <c r="AJ58" s="153" t="str">
        <f>IFERROR((SUMPRODUCT(AJ46:AJ57,AE46:AE57)/AE58),"NA")</f>
        <v>NA</v>
      </c>
      <c r="AK58" s="155" t="str">
        <f t="shared" si="81"/>
        <v>NA</v>
      </c>
      <c r="AL58" s="155" t="str">
        <f t="shared" si="82"/>
        <v>NA</v>
      </c>
      <c r="AM58" s="155" t="str">
        <f t="shared" si="83"/>
        <v>NA</v>
      </c>
      <c r="AN58" s="155" t="str">
        <f t="shared" si="84"/>
        <v>NA</v>
      </c>
      <c r="AO58" s="155" t="str">
        <f t="shared" si="85"/>
        <v>NA</v>
      </c>
      <c r="AP58" s="155" t="str">
        <f t="shared" si="86"/>
        <v>NA</v>
      </c>
      <c r="AR58" s="79"/>
      <c r="AS58" s="79" t="s">
        <v>245</v>
      </c>
      <c r="AT58" s="151">
        <f>SUM(AT46:AT57)</f>
        <v>0</v>
      </c>
      <c r="AU58" s="153" t="str">
        <f>IFERROR((SUMPRODUCT(AU46:AU57,AT46:AT57)/AT58),"NA")</f>
        <v>NA</v>
      </c>
      <c r="AV58" s="153" t="str">
        <f>IFERROR((SUMPRODUCT(AV46:AV57,AT46:AT57)/AT58),"NA")</f>
        <v>NA</v>
      </c>
      <c r="AW58" s="153" t="str">
        <f>IFERROR((SUMPRODUCT(AW46:AW57,AT46:AT57)/AT58),"NA")</f>
        <v>NA</v>
      </c>
      <c r="AX58" s="153" t="str">
        <f>IFERROR((SUMPRODUCT(AX46:AX57,AT46:AT57)/AT58),"NA")</f>
        <v>NA</v>
      </c>
      <c r="AY58" s="153" t="str">
        <f>IFERROR((SUMPRODUCT(AY46:AY57,AT46:AT57)/AT58),"NA")</f>
        <v>NA</v>
      </c>
      <c r="AZ58" s="151">
        <f>SUM(AZ46:AZ57)</f>
        <v>0</v>
      </c>
      <c r="BA58" s="153" t="str">
        <f>IFERROR((SUMPRODUCT(BA46:BA57,AZ46:AZ57)/AZ58),"NA")</f>
        <v>NA</v>
      </c>
      <c r="BB58" s="153" t="str">
        <f>IFERROR((SUMPRODUCT(BB46:BB57,AZ46:AZ57)/AZ58),"NA")</f>
        <v>NA</v>
      </c>
      <c r="BC58" s="153" t="str">
        <f>IFERROR((SUMPRODUCT(BC46:BC57,AZ46:AZ57)/AZ58),"NA")</f>
        <v>NA</v>
      </c>
      <c r="BD58" s="153" t="str">
        <f>IFERROR((SUMPRODUCT(BD46:BD57,AZ46:AZ57)/AZ58),"NA")</f>
        <v>NA</v>
      </c>
      <c r="BE58" s="153" t="str">
        <f>IFERROR((SUMPRODUCT(BE46:BE57,AZ46:AZ57)/AZ58),"NA")</f>
        <v>NA</v>
      </c>
      <c r="BF58" s="155" t="str">
        <f t="shared" si="87"/>
        <v>NA</v>
      </c>
      <c r="BG58" s="155" t="str">
        <f t="shared" si="88"/>
        <v>NA</v>
      </c>
      <c r="BH58" s="155" t="str">
        <f t="shared" si="89"/>
        <v>NA</v>
      </c>
      <c r="BI58" s="155" t="str">
        <f t="shared" si="90"/>
        <v>NA</v>
      </c>
      <c r="BJ58" s="155" t="str">
        <f t="shared" si="91"/>
        <v>NA</v>
      </c>
      <c r="BK58" s="155" t="str">
        <f t="shared" si="92"/>
        <v>NA</v>
      </c>
    </row>
    <row r="59" spans="2:63" x14ac:dyDescent="0.35">
      <c r="B59" s="79"/>
      <c r="C59" s="79" t="s">
        <v>246</v>
      </c>
      <c r="D59" s="151">
        <f>D58</f>
        <v>0</v>
      </c>
      <c r="E59" s="153" t="str">
        <f>IFERROR(((SUMPRODUCT(E46:E57,D46:D57))-ABS(SUMIFS(RX_REBATE[[#All],[Total Pharmacy Rebate Amount]],RX_REBATE[[#All],[Reporting Year]],2018,RX_REBATE[[#All],[Insurance Category Code]],4)))/D59,"NA")</f>
        <v>NA</v>
      </c>
      <c r="F59" s="153" t="str">
        <f>IFERROR(((SUMPRODUCT(F46:F57,D46:D57))-ABS(SUMIFS(RX_REBATE[[#All],[Total Pharmacy Rebate Amount]],RX_REBATE[[#All],[Reporting Year]],2018,RX_REBATE[[#All],[Insurance Category Code]],4)))/D59,"NA")</f>
        <v>NA</v>
      </c>
      <c r="G59" s="153" t="str">
        <f>IFERROR(((SUMPRODUCT(G46:G57,D46:D57))-ABS(SUMIFS(RX_REBATE[[#All],[Total Pharmacy Rebate Amount]],RX_REBATE[[#All],[Reporting Year]],2018,RX_REBATE[[#All],[Insurance Category Code]],4)))/D59,"NA")</f>
        <v>NA</v>
      </c>
      <c r="H59" s="153" t="str">
        <f>IFERROR(((SUMPRODUCT(H46:H57,D46:D57))-ABS(SUMIFS(RX_REBATE[[#All],[Total Pharmacy Rebate Amount]],RX_REBATE[[#All],[Reporting Year]],2018,RX_REBATE[[#All],[Insurance Category Code]],4)))/D59,"NA")</f>
        <v>NA</v>
      </c>
      <c r="I59" s="153" t="str">
        <f>IFERROR(((SUMPRODUCT(I46:I57,D46:D57))-ABS(SUMIFS(RX_REBATE[[#All],[Total Pharmacy Rebate Amount]],RX_REBATE[[#All],[Reporting Year]],2018,RX_REBATE[[#All],[Insurance Category Code]],4)))/D59,"NA")</f>
        <v>NA</v>
      </c>
      <c r="J59" s="151">
        <f t="shared" ref="J59" si="93">J58</f>
        <v>0</v>
      </c>
      <c r="K59" s="153" t="str">
        <f>IFERROR(((SUMPRODUCT(K46:K57,J46:J57))-ABS(SUMIFS(RX_REBATE[[#All],[Total Pharmacy Rebate Amount]],RX_REBATE[[#All],[Reporting Year]],2019,RX_REBATE[[#All],[Insurance Category Code]],4)))/J59,"NA")</f>
        <v>NA</v>
      </c>
      <c r="L59" s="153" t="str">
        <f>IFERROR(((SUMPRODUCT(L46:L57,J46:J57))-ABS(SUMIFS(RX_REBATE[[#All],[Total Pharmacy Rebate Amount]],RX_REBATE[[#All],[Reporting Year]],2019,RX_REBATE[[#All],[Insurance Category Code]],4)))/J59,"NA")</f>
        <v>NA</v>
      </c>
      <c r="M59" s="153" t="str">
        <f>IFERROR(((SUMPRODUCT(M46:M57,J46:J57))-ABS(SUMIFS(RX_REBATE[[#All],[Total Pharmacy Rebate Amount]],RX_REBATE[[#All],[Reporting Year]],2019,RX_REBATE[[#All],[Insurance Category Code]],4)))/J59,"NA")</f>
        <v>NA</v>
      </c>
      <c r="N59" s="153" t="str">
        <f>IFERROR(((SUMPRODUCT(N46:N57,J46:J57))-ABS(SUMIFS(RX_REBATE[[#All],[Total Pharmacy Rebate Amount]],RX_REBATE[[#All],[Reporting Year]],2019,RX_REBATE[[#All],[Insurance Category Code]],4)))/J59,"NA")</f>
        <v>NA</v>
      </c>
      <c r="O59" s="153" t="str">
        <f>IFERROR(((SUMPRODUCT(O46:O57,J46:J57))-ABS(SUMIFS(RX_REBATE[[#All],[Total Pharmacy Rebate Amount]],RX_REBATE[[#All],[Reporting Year]],2019,RX_REBATE[[#All],[Insurance Category Code]],4)))/J59,"NA")</f>
        <v>NA</v>
      </c>
      <c r="P59" s="155" t="str">
        <f t="shared" si="75"/>
        <v>NA</v>
      </c>
      <c r="Q59" s="155" t="str">
        <f t="shared" si="76"/>
        <v>NA</v>
      </c>
      <c r="R59" s="155" t="str">
        <f t="shared" si="77"/>
        <v>NA</v>
      </c>
      <c r="S59" s="155" t="str">
        <f t="shared" si="78"/>
        <v>NA</v>
      </c>
      <c r="T59" s="155" t="str">
        <f t="shared" si="79"/>
        <v>NA</v>
      </c>
      <c r="U59" s="155" t="str">
        <f t="shared" si="80"/>
        <v>NA</v>
      </c>
      <c r="W59" s="79"/>
      <c r="X59" s="79" t="s">
        <v>246</v>
      </c>
      <c r="Y59" s="151">
        <f>Y58</f>
        <v>0</v>
      </c>
      <c r="Z59" s="153" t="str">
        <f>IFERROR(((SUMPRODUCT(Z46:Z57,Y46:Y57))-ABS(SUMIFS(RX_REBATE[[#All],[Total Pharmacy Rebate Amount]],RX_REBATE[[#All],[Reporting Year]],2019,RX_REBATE[[#All],[Insurance Category Code]],4)))/Y59,"NA")</f>
        <v>NA</v>
      </c>
      <c r="AA59" s="153" t="str">
        <f>IFERROR(((SUMPRODUCT(AA46:AA57,Y46:Y57))-ABS(SUMIFS(RX_REBATE[[#All],[Total Pharmacy Rebate Amount]],RX_REBATE[[#All],[Reporting Year]],2019,RX_REBATE[[#All],[Insurance Category Code]],4)))/Y59,"NA")</f>
        <v>NA</v>
      </c>
      <c r="AB59" s="153" t="str">
        <f>IFERROR(((SUMPRODUCT(AB46:AB57,Y46:Y57))-ABS(SUMIFS(RX_REBATE[[#All],[Total Pharmacy Rebate Amount]],RX_REBATE[[#All],[Reporting Year]],2019,RX_REBATE[[#All],[Insurance Category Code]],4)))/Y59,"NA")</f>
        <v>NA</v>
      </c>
      <c r="AC59" s="153" t="str">
        <f>IFERROR(((SUMPRODUCT(AC46:AC57,Y46:Y57))-ABS(SUMIFS(RX_REBATE[[#All],[Total Pharmacy Rebate Amount]],RX_REBATE[[#All],[Reporting Year]],2019,RX_REBATE[[#All],[Insurance Category Code]],4)))/Y59,"NA")</f>
        <v>NA</v>
      </c>
      <c r="AD59" s="153" t="str">
        <f>IFERROR(((SUMPRODUCT(AD46:AD57,Y46:Y57))-ABS(SUMIFS(RX_REBATE[[#All],[Total Pharmacy Rebate Amount]],RX_REBATE[[#All],[Reporting Year]],2019,RX_REBATE[[#All],[Insurance Category Code]],4)))/Y59,"NA")</f>
        <v>NA</v>
      </c>
      <c r="AE59" s="151">
        <f t="shared" ref="AE59" si="94">AE58</f>
        <v>0</v>
      </c>
      <c r="AF59" s="153" t="str">
        <f>IFERROR(((SUMPRODUCT(AF46:AF57,AE46:AE57))-ABS(SUMIFS(RX_REBATE[[#All],[Total Pharmacy Rebate Amount]],RX_REBATE[[#All],[Reporting Year]],2020,RX_REBATE[[#All],[Insurance Category Code]],4)))/AE59,"NA")</f>
        <v>NA</v>
      </c>
      <c r="AG59" s="153" t="str">
        <f>IFERROR(((SUMPRODUCT(AG46:AG57,AE46:AE57))-ABS(SUMIFS(RX_REBATE[[#All],[Total Pharmacy Rebate Amount]],RX_REBATE[[#All],[Reporting Year]],2020,RX_REBATE[[#All],[Insurance Category Code]],4)))/AE59,"NA")</f>
        <v>NA</v>
      </c>
      <c r="AH59" s="153" t="str">
        <f>IFERROR(((SUMPRODUCT(AH46:AH57,AE46:AE57))-ABS(SUMIFS(RX_REBATE[[#All],[Total Pharmacy Rebate Amount]],RX_REBATE[[#All],[Reporting Year]],2020,RX_REBATE[[#All],[Insurance Category Code]],4)))/AE59,"NA")</f>
        <v>NA</v>
      </c>
      <c r="AI59" s="153" t="str">
        <f>IFERROR(((SUMPRODUCT(AI46:AI57,AE46:AE57))-ABS(SUMIFS(RX_REBATE[[#All],[Total Pharmacy Rebate Amount]],RX_REBATE[[#All],[Reporting Year]],2020,RX_REBATE[[#All],[Insurance Category Code]],4)))/AE59,"NA")</f>
        <v>NA</v>
      </c>
      <c r="AJ59" s="153" t="str">
        <f>IFERROR(((SUMPRODUCT(AJ46:AJ57,AE46:AE57))-ABS(SUMIFS(RX_REBATE[[#All],[Total Pharmacy Rebate Amount]],RX_REBATE[[#All],[Reporting Year]],2020,RX_REBATE[[#All],[Insurance Category Code]],4)))/AE59,"NA")</f>
        <v>NA</v>
      </c>
      <c r="AK59" s="155" t="str">
        <f t="shared" si="81"/>
        <v>NA</v>
      </c>
      <c r="AL59" s="155" t="str">
        <f t="shared" si="82"/>
        <v>NA</v>
      </c>
      <c r="AM59" s="155" t="str">
        <f t="shared" si="83"/>
        <v>NA</v>
      </c>
      <c r="AN59" s="155" t="str">
        <f t="shared" si="84"/>
        <v>NA</v>
      </c>
      <c r="AO59" s="155" t="str">
        <f t="shared" si="85"/>
        <v>NA</v>
      </c>
      <c r="AP59" s="155" t="str">
        <f t="shared" si="86"/>
        <v>NA</v>
      </c>
      <c r="AR59" s="79"/>
      <c r="AS59" s="79" t="s">
        <v>246</v>
      </c>
      <c r="AT59" s="151">
        <f>AT58</f>
        <v>0</v>
      </c>
      <c r="AU59" s="153" t="str">
        <f>IFERROR(((SUMPRODUCT(AU46:AU57,AT46:AT57))-ABS(SUMIFS(RX_REBATE[[#All],[Total Pharmacy Rebate Amount]],RX_REBATE[[#All],[Reporting Year]],2020,RX_REBATE[[#All],[Insurance Category Code]],4)))/AT59,"NA")</f>
        <v>NA</v>
      </c>
      <c r="AV59" s="153" t="str">
        <f>IFERROR(((SUMPRODUCT(AV46:AV57,AT46:AT57))-ABS(SUMIFS(RX_REBATE[[#All],[Total Pharmacy Rebate Amount]],RX_REBATE[[#All],[Reporting Year]],2020,RX_REBATE[[#All],[Insurance Category Code]],4)))/AT59,"NA")</f>
        <v>NA</v>
      </c>
      <c r="AW59" s="153" t="str">
        <f>IFERROR(((SUMPRODUCT(AW46:AW57,AT46:AT57))-ABS(SUMIFS(RX_REBATE[[#All],[Total Pharmacy Rebate Amount]],RX_REBATE[[#All],[Reporting Year]],2020,RX_REBATE[[#All],[Insurance Category Code]],4)))/AT59,"NA")</f>
        <v>NA</v>
      </c>
      <c r="AX59" s="153" t="str">
        <f>IFERROR(((SUMPRODUCT(AX46:AX57,AT46:AT57))-ABS(SUMIFS(RX_REBATE[[#All],[Total Pharmacy Rebate Amount]],RX_REBATE[[#All],[Reporting Year]],2020,RX_REBATE[[#All],[Insurance Category Code]],4)))/AT59,"NA")</f>
        <v>NA</v>
      </c>
      <c r="AY59" s="153" t="str">
        <f>IFERROR(((SUMPRODUCT(AY46:AY57,AT46:AT57))-ABS(SUMIFS(RX_REBATE[[#All],[Total Pharmacy Rebate Amount]],RX_REBATE[[#All],[Reporting Year]],2020,RX_REBATE[[#All],[Insurance Category Code]],4)))/AT59,"NA")</f>
        <v>NA</v>
      </c>
      <c r="AZ59" s="151">
        <f t="shared" ref="AZ59" si="95">AZ58</f>
        <v>0</v>
      </c>
      <c r="BA59" s="153" t="str">
        <f>IFERROR(((SUMPRODUCT(BA46:BA57,AZ46:AZ57))-ABS(SUMIFS(RX_REBATE[[#All],[Total Pharmacy Rebate Amount]],RX_REBATE[[#All],[Reporting Year]],2021,RX_REBATE[[#All],[Insurance Category Code]],4)))/AZ59,"NA")</f>
        <v>NA</v>
      </c>
      <c r="BB59" s="153" t="str">
        <f>IFERROR(((SUMPRODUCT(BB46:BB57,AZ46:AZ57))-ABS(SUMIFS(RX_REBATE[[#All],[Total Pharmacy Rebate Amount]],RX_REBATE[[#All],[Reporting Year]],2021,RX_REBATE[[#All],[Insurance Category Code]],4)))/AZ59,"NA")</f>
        <v>NA</v>
      </c>
      <c r="BC59" s="153" t="str">
        <f>IFERROR(((SUMPRODUCT(BC46:BC57,AZ46:AZ57))-ABS(SUMIFS(RX_REBATE[[#All],[Total Pharmacy Rebate Amount]],RX_REBATE[[#All],[Reporting Year]],2021,RX_REBATE[[#All],[Insurance Category Code]],4)))/AZ59,"NA")</f>
        <v>NA</v>
      </c>
      <c r="BD59" s="153" t="str">
        <f>IFERROR(((SUMPRODUCT(BD46:BD57,AZ46:AZ57))-ABS(SUMIFS(RX_REBATE[[#All],[Total Pharmacy Rebate Amount]],RX_REBATE[[#All],[Reporting Year]],2021,RX_REBATE[[#All],[Insurance Category Code]],4)))/AZ59,"NA")</f>
        <v>NA</v>
      </c>
      <c r="BE59" s="153" t="str">
        <f>IFERROR(((SUMPRODUCT(BE46:BE57,AZ46:AZ57))-ABS(SUMIFS(RX_REBATE[[#All],[Total Pharmacy Rebate Amount]],RX_REBATE[[#All],[Reporting Year]],2021,RX_REBATE[[#All],[Insurance Category Code]],4)))/AZ59,"NA")</f>
        <v>NA</v>
      </c>
      <c r="BF59" s="155" t="str">
        <f t="shared" si="87"/>
        <v>NA</v>
      </c>
      <c r="BG59" s="155" t="str">
        <f t="shared" si="88"/>
        <v>NA</v>
      </c>
      <c r="BH59" s="155" t="str">
        <f t="shared" si="89"/>
        <v>NA</v>
      </c>
      <c r="BI59" s="155" t="str">
        <f t="shared" si="90"/>
        <v>NA</v>
      </c>
      <c r="BJ59" s="155" t="str">
        <f t="shared" si="91"/>
        <v>NA</v>
      </c>
      <c r="BK59" s="155" t="str">
        <f t="shared" si="92"/>
        <v>NA</v>
      </c>
    </row>
    <row r="61" spans="2:63" x14ac:dyDescent="0.35">
      <c r="B61" s="71" t="s">
        <v>341</v>
      </c>
      <c r="W61" s="71" t="s">
        <v>342</v>
      </c>
      <c r="AR61" s="71" t="s">
        <v>343</v>
      </c>
    </row>
    <row r="62" spans="2:63" x14ac:dyDescent="0.35">
      <c r="B62" s="70" t="s">
        <v>307</v>
      </c>
      <c r="W62" s="70" t="s">
        <v>307</v>
      </c>
      <c r="AR62" s="70" t="s">
        <v>307</v>
      </c>
    </row>
    <row r="63" spans="2:63" ht="15" customHeight="1" x14ac:dyDescent="0.35">
      <c r="B63" s="219" t="s">
        <v>300</v>
      </c>
      <c r="C63" s="221"/>
      <c r="D63" s="219">
        <v>2018</v>
      </c>
      <c r="E63" s="220"/>
      <c r="F63" s="220"/>
      <c r="G63" s="220"/>
      <c r="H63" s="220"/>
      <c r="I63" s="221"/>
      <c r="J63" s="219">
        <v>2019</v>
      </c>
      <c r="K63" s="220"/>
      <c r="L63" s="220"/>
      <c r="M63" s="220"/>
      <c r="N63" s="220"/>
      <c r="O63" s="221"/>
      <c r="P63" s="219" t="s">
        <v>287</v>
      </c>
      <c r="Q63" s="220"/>
      <c r="R63" s="220"/>
      <c r="S63" s="220"/>
      <c r="T63" s="220"/>
      <c r="U63" s="221"/>
      <c r="W63" s="219" t="s">
        <v>300</v>
      </c>
      <c r="X63" s="221"/>
      <c r="Y63" s="219">
        <v>2019</v>
      </c>
      <c r="Z63" s="220"/>
      <c r="AA63" s="220"/>
      <c r="AB63" s="220"/>
      <c r="AC63" s="220"/>
      <c r="AD63" s="221"/>
      <c r="AE63" s="219">
        <v>2020</v>
      </c>
      <c r="AF63" s="220"/>
      <c r="AG63" s="220"/>
      <c r="AH63" s="220"/>
      <c r="AI63" s="220"/>
      <c r="AJ63" s="221"/>
      <c r="AK63" s="219" t="s">
        <v>288</v>
      </c>
      <c r="AL63" s="220"/>
      <c r="AM63" s="220"/>
      <c r="AN63" s="220"/>
      <c r="AO63" s="220"/>
      <c r="AP63" s="221"/>
      <c r="AR63" s="219" t="s">
        <v>300</v>
      </c>
      <c r="AS63" s="221"/>
      <c r="AT63" s="219">
        <v>2020</v>
      </c>
      <c r="AU63" s="220"/>
      <c r="AV63" s="220"/>
      <c r="AW63" s="220"/>
      <c r="AX63" s="220"/>
      <c r="AY63" s="221"/>
      <c r="AZ63" s="219">
        <v>2021</v>
      </c>
      <c r="BA63" s="220"/>
      <c r="BB63" s="220"/>
      <c r="BC63" s="220"/>
      <c r="BD63" s="220"/>
      <c r="BE63" s="221"/>
      <c r="BF63" s="219" t="s">
        <v>289</v>
      </c>
      <c r="BG63" s="220"/>
      <c r="BH63" s="220"/>
      <c r="BI63" s="220"/>
      <c r="BJ63" s="220"/>
      <c r="BK63" s="221"/>
    </row>
    <row r="64" spans="2:63" ht="43.5" x14ac:dyDescent="0.35">
      <c r="B64" s="96" t="s">
        <v>241</v>
      </c>
      <c r="C64" s="96" t="s">
        <v>242</v>
      </c>
      <c r="D64" s="96" t="s">
        <v>90</v>
      </c>
      <c r="E64" s="96" t="s">
        <v>267</v>
      </c>
      <c r="F64" s="96" t="s">
        <v>268</v>
      </c>
      <c r="G64" s="96" t="s">
        <v>243</v>
      </c>
      <c r="H64" s="96" t="s">
        <v>269</v>
      </c>
      <c r="I64" s="96" t="s">
        <v>244</v>
      </c>
      <c r="J64" s="96" t="s">
        <v>90</v>
      </c>
      <c r="K64" s="96" t="s">
        <v>267</v>
      </c>
      <c r="L64" s="96" t="s">
        <v>268</v>
      </c>
      <c r="M64" s="96" t="s">
        <v>243</v>
      </c>
      <c r="N64" s="96" t="s">
        <v>269</v>
      </c>
      <c r="O64" s="96" t="s">
        <v>244</v>
      </c>
      <c r="P64" s="96" t="s">
        <v>90</v>
      </c>
      <c r="Q64" s="96" t="s">
        <v>267</v>
      </c>
      <c r="R64" s="96" t="s">
        <v>268</v>
      </c>
      <c r="S64" s="96" t="s">
        <v>243</v>
      </c>
      <c r="T64" s="96" t="s">
        <v>269</v>
      </c>
      <c r="U64" s="96" t="s">
        <v>244</v>
      </c>
      <c r="W64" s="96" t="s">
        <v>241</v>
      </c>
      <c r="X64" s="96" t="s">
        <v>242</v>
      </c>
      <c r="Y64" s="96" t="s">
        <v>90</v>
      </c>
      <c r="Z64" s="96" t="s">
        <v>267</v>
      </c>
      <c r="AA64" s="96" t="s">
        <v>268</v>
      </c>
      <c r="AB64" s="96" t="s">
        <v>243</v>
      </c>
      <c r="AC64" s="96" t="s">
        <v>269</v>
      </c>
      <c r="AD64" s="96" t="s">
        <v>244</v>
      </c>
      <c r="AE64" s="96" t="s">
        <v>90</v>
      </c>
      <c r="AF64" s="96" t="s">
        <v>267</v>
      </c>
      <c r="AG64" s="96" t="s">
        <v>268</v>
      </c>
      <c r="AH64" s="96" t="s">
        <v>243</v>
      </c>
      <c r="AI64" s="96" t="s">
        <v>269</v>
      </c>
      <c r="AJ64" s="96" t="s">
        <v>244</v>
      </c>
      <c r="AK64" s="96" t="s">
        <v>90</v>
      </c>
      <c r="AL64" s="96" t="s">
        <v>267</v>
      </c>
      <c r="AM64" s="96" t="s">
        <v>268</v>
      </c>
      <c r="AN64" s="96" t="s">
        <v>243</v>
      </c>
      <c r="AO64" s="96" t="s">
        <v>269</v>
      </c>
      <c r="AP64" s="96" t="s">
        <v>244</v>
      </c>
      <c r="AR64" s="96" t="s">
        <v>241</v>
      </c>
      <c r="AS64" s="96" t="s">
        <v>242</v>
      </c>
      <c r="AT64" s="96" t="s">
        <v>90</v>
      </c>
      <c r="AU64" s="96" t="s">
        <v>267</v>
      </c>
      <c r="AV64" s="96" t="s">
        <v>268</v>
      </c>
      <c r="AW64" s="96" t="s">
        <v>243</v>
      </c>
      <c r="AX64" s="96" t="s">
        <v>269</v>
      </c>
      <c r="AY64" s="96" t="s">
        <v>244</v>
      </c>
      <c r="AZ64" s="96" t="s">
        <v>90</v>
      </c>
      <c r="BA64" s="96" t="s">
        <v>267</v>
      </c>
      <c r="BB64" s="96" t="s">
        <v>268</v>
      </c>
      <c r="BC64" s="96" t="s">
        <v>243</v>
      </c>
      <c r="BD64" s="96" t="s">
        <v>269</v>
      </c>
      <c r="BE64" s="96" t="s">
        <v>244</v>
      </c>
      <c r="BF64" s="96" t="s">
        <v>90</v>
      </c>
      <c r="BG64" s="96" t="s">
        <v>267</v>
      </c>
      <c r="BH64" s="96" t="s">
        <v>268</v>
      </c>
      <c r="BI64" s="96" t="s">
        <v>243</v>
      </c>
      <c r="BJ64" s="96" t="s">
        <v>269</v>
      </c>
      <c r="BK64" s="96" t="s">
        <v>244</v>
      </c>
    </row>
    <row r="65" spans="2:63" x14ac:dyDescent="0.35">
      <c r="B65" s="123">
        <v>101</v>
      </c>
      <c r="C65" s="103" t="s">
        <v>247</v>
      </c>
      <c r="D65" s="141">
        <f t="shared" ref="D65:D76" si="96">D84+D103</f>
        <v>0</v>
      </c>
      <c r="E65" s="152" t="str">
        <f t="shared" ref="E65:E78" si="97">IF(D65=0,"NA",(SUMPRODUCT(E84,D84)+SUMPRODUCT(E103,D103))/D65)</f>
        <v>NA</v>
      </c>
      <c r="F65" s="152" t="str">
        <f t="shared" ref="F65:F78" si="98">IF(D65=0,"NA",(SUMPRODUCT(F84,D84)+SUMPRODUCT(F103,D103))/D65)</f>
        <v>NA</v>
      </c>
      <c r="G65" s="152" t="str">
        <f t="shared" ref="G65:G78" si="99">IF(D65=0,"NA",(SUMPRODUCT(G84,D84)+SUMPRODUCT(G103,D103))/D65)</f>
        <v>NA</v>
      </c>
      <c r="H65" s="152" t="str">
        <f t="shared" ref="H65:H78" si="100">IF(D65=0,"NA",(SUMPRODUCT(H84,D84)+SUMPRODUCT(H103,D103))/D65)</f>
        <v>NA</v>
      </c>
      <c r="I65" s="152" t="str">
        <f t="shared" ref="I65:I76" si="101">IF(D65=0,"NA",(SUMPRODUCT(I84,D84)+SUMPRODUCT(I103,D103))/D65)</f>
        <v>NA</v>
      </c>
      <c r="J65" s="141">
        <f t="shared" ref="J65:J76" si="102">J84+J103</f>
        <v>0</v>
      </c>
      <c r="K65" s="152" t="str">
        <f t="shared" ref="K65:K78" si="103">IF(J65=0,"NA",(SUMPRODUCT(K84,J84)+SUMPRODUCT(K103,J103))/J65)</f>
        <v>NA</v>
      </c>
      <c r="L65" s="152" t="str">
        <f t="shared" ref="L65:L78" si="104">IF(J65=0,"NA",(SUMPRODUCT(L84,J84)+SUMPRODUCT(L103,J103))/J65)</f>
        <v>NA</v>
      </c>
      <c r="M65" s="152" t="str">
        <f t="shared" ref="M65:M78" si="105">IF(J65=0,"NA",(SUMPRODUCT(M84,J84)+SUMPRODUCT(M103,J103))/J65)</f>
        <v>NA</v>
      </c>
      <c r="N65" s="152" t="str">
        <f t="shared" ref="N65:N78" si="106">IF(J65=0,"NA",(SUMPRODUCT(N84,J84)+SUMPRODUCT(N103,J103))/J65)</f>
        <v>NA</v>
      </c>
      <c r="O65" s="152" t="str">
        <f t="shared" ref="O65:O76" si="107">IF(J65=0,"NA",(SUMPRODUCT(O84,J84)+SUMPRODUCT(O103,J103))/J65)</f>
        <v>NA</v>
      </c>
      <c r="P65" s="154" t="str">
        <f t="shared" ref="P65:P78" si="108">IFERROR((J65/D65-1),"NA")</f>
        <v>NA</v>
      </c>
      <c r="Q65" s="154" t="str">
        <f t="shared" ref="Q65:Q78" si="109">IFERROR((K65/E65-1),"NA")</f>
        <v>NA</v>
      </c>
      <c r="R65" s="154" t="str">
        <f t="shared" ref="R65:R78" si="110">IFERROR((L65/F65-1),"NA")</f>
        <v>NA</v>
      </c>
      <c r="S65" s="154" t="str">
        <f t="shared" ref="S65:S78" si="111">IFERROR((M65/G65-1),"NA")</f>
        <v>NA</v>
      </c>
      <c r="T65" s="154" t="str">
        <f t="shared" ref="T65:T78" si="112">IFERROR((N65/H65-1),"NA")</f>
        <v>NA</v>
      </c>
      <c r="U65" s="154" t="str">
        <f t="shared" ref="U65:U78" si="113">IFERROR((O65/I65-1),"NA")</f>
        <v>NA</v>
      </c>
      <c r="W65" s="123">
        <v>101</v>
      </c>
      <c r="X65" s="103" t="s">
        <v>247</v>
      </c>
      <c r="Y65" s="141">
        <f t="shared" ref="Y65:Y76" si="114">Y84+Y103</f>
        <v>0</v>
      </c>
      <c r="Z65" s="152" t="str">
        <f t="shared" ref="Z65:Z78" si="115">IF(Y65=0,"NA",(SUMPRODUCT(Z84,Y84)+SUMPRODUCT(Z103,Y103))/Y65)</f>
        <v>NA</v>
      </c>
      <c r="AA65" s="152" t="str">
        <f t="shared" ref="AA65:AA78" si="116">IF(Y65=0,"NA",(SUMPRODUCT(AA84,Y84)+SUMPRODUCT(AA103,Y103))/Y65)</f>
        <v>NA</v>
      </c>
      <c r="AB65" s="152" t="str">
        <f t="shared" ref="AB65:AB78" si="117">IF(Y65=0,"NA",(SUMPRODUCT(AB84,Y84)+SUMPRODUCT(AB103,Y103))/Y65)</f>
        <v>NA</v>
      </c>
      <c r="AC65" s="152" t="str">
        <f t="shared" ref="AC65:AC78" si="118">IF(Y65=0,"NA",(SUMPRODUCT(AC84,Y84)+SUMPRODUCT(AC103,Y103))/Y65)</f>
        <v>NA</v>
      </c>
      <c r="AD65" s="152" t="str">
        <f t="shared" ref="AD65:AD76" si="119">IF(Y65=0,"NA",(SUMPRODUCT(AD84,AC84)+SUMPRODUCT(AD103,AC103))/Y65)</f>
        <v>NA</v>
      </c>
      <c r="AE65" s="141">
        <f t="shared" ref="AE65:AE76" si="120">AE84+AE103</f>
        <v>0</v>
      </c>
      <c r="AF65" s="152" t="str">
        <f t="shared" ref="AF65:AF78" si="121">IF(AE65=0,"NA",(SUMPRODUCT(AF84,AE84)+SUMPRODUCT(AF103,AE103))/AE65)</f>
        <v>NA</v>
      </c>
      <c r="AG65" s="152" t="str">
        <f t="shared" ref="AG65:AG78" si="122">IF(AE65=0,"NA",(SUMPRODUCT(AG84,AE84)+SUMPRODUCT(AG103,AE103))/AE65)</f>
        <v>NA</v>
      </c>
      <c r="AH65" s="152" t="str">
        <f t="shared" ref="AH65:AH78" si="123">IF(AE65=0,"NA",(SUMPRODUCT(AH84,AE84)+SUMPRODUCT(AH103,AE103))/AE65)</f>
        <v>NA</v>
      </c>
      <c r="AI65" s="152" t="str">
        <f t="shared" ref="AI65:AI78" si="124">IF(AE65=0,"NA",(SUMPRODUCT(AI84,AE84)+SUMPRODUCT(AI103,AE103))/AE65)</f>
        <v>NA</v>
      </c>
      <c r="AJ65" s="152" t="str">
        <f t="shared" ref="AJ65:AJ76" si="125">IF(AE65=0,"NA",(SUMPRODUCT(AJ84,AI84)+SUMPRODUCT(AJ103,AI103))/AE65)</f>
        <v>NA</v>
      </c>
      <c r="AK65" s="154" t="str">
        <f t="shared" ref="AK65:AK78" si="126">IFERROR((AE65/Y65-1),"NA")</f>
        <v>NA</v>
      </c>
      <c r="AL65" s="154" t="str">
        <f t="shared" ref="AL65:AL78" si="127">IFERROR((AF65/Z65-1),"NA")</f>
        <v>NA</v>
      </c>
      <c r="AM65" s="154" t="str">
        <f t="shared" ref="AM65:AM78" si="128">IFERROR((AG65/AA65-1),"NA")</f>
        <v>NA</v>
      </c>
      <c r="AN65" s="154" t="str">
        <f t="shared" ref="AN65:AN78" si="129">IFERROR((AH65/AB65-1),"NA")</f>
        <v>NA</v>
      </c>
      <c r="AO65" s="154" t="str">
        <f t="shared" ref="AO65:AO78" si="130">IFERROR((AI65/AC65-1),"NA")</f>
        <v>NA</v>
      </c>
      <c r="AP65" s="154" t="str">
        <f t="shared" ref="AP65:AP78" si="131">IFERROR((AJ65/AD65-1),"NA")</f>
        <v>NA</v>
      </c>
      <c r="AR65" s="123">
        <v>101</v>
      </c>
      <c r="AS65" s="103" t="s">
        <v>247</v>
      </c>
      <c r="AT65" s="141">
        <f t="shared" ref="AT65:AT76" si="132">AT84+AT103</f>
        <v>0</v>
      </c>
      <c r="AU65" s="152" t="str">
        <f t="shared" ref="AU65:AU78" si="133">IF(AT65=0,"NA",(SUMPRODUCT(AU84,AT84)+SUMPRODUCT(AU103,AT103))/AT65)</f>
        <v>NA</v>
      </c>
      <c r="AV65" s="152" t="str">
        <f t="shared" ref="AV65:AV78" si="134">IF(AT65=0,"NA",(SUMPRODUCT(AV84,AT84)+SUMPRODUCT(AV103,AT103))/AT65)</f>
        <v>NA</v>
      </c>
      <c r="AW65" s="152" t="str">
        <f t="shared" ref="AW65:AW78" si="135">IF(AT65=0,"NA",(SUMPRODUCT(AW84,AT84)+SUMPRODUCT(AW103,AT103))/AT65)</f>
        <v>NA</v>
      </c>
      <c r="AX65" s="152" t="str">
        <f t="shared" ref="AX65:AX78" si="136">IF(AT65=0,"NA",(SUMPRODUCT(AX84,AT84)+SUMPRODUCT(AX103,AT103))/AT65)</f>
        <v>NA</v>
      </c>
      <c r="AY65" s="152" t="str">
        <f t="shared" ref="AY65:AY76" si="137">IF(AT65=0,"NA",(SUMPRODUCT(AY84,AX84)+SUMPRODUCT(AY103,AX103))/AT65)</f>
        <v>NA</v>
      </c>
      <c r="AZ65" s="141">
        <f t="shared" ref="AZ65:AZ76" si="138">AZ84+AZ103</f>
        <v>0</v>
      </c>
      <c r="BA65" s="152" t="str">
        <f t="shared" ref="BA65:BA78" si="139">IF(AZ65=0,"NA",(SUMPRODUCT(BA84,AZ84)+SUMPRODUCT(BA103,AZ103))/AZ65)</f>
        <v>NA</v>
      </c>
      <c r="BB65" s="152" t="str">
        <f t="shared" ref="BB65:BB78" si="140">IF(AZ65=0,"NA",(SUMPRODUCT(BB84,AZ84)+SUMPRODUCT(BB103,AZ103))/AZ65)</f>
        <v>NA</v>
      </c>
      <c r="BC65" s="152" t="str">
        <f t="shared" ref="BC65:BC78" si="141">IF(AZ65=0,"NA",(SUMPRODUCT(BC84,AZ84)+SUMPRODUCT(BC103,AZ103))/AZ65)</f>
        <v>NA</v>
      </c>
      <c r="BD65" s="152" t="str">
        <f t="shared" ref="BD65:BD78" si="142">IF(AZ65=0,"NA",(SUMPRODUCT(BD84,AZ84)+SUMPRODUCT(BD103,AZ103))/AZ65)</f>
        <v>NA</v>
      </c>
      <c r="BE65" s="152" t="str">
        <f t="shared" ref="BE65:BE76" si="143">IF(AZ65=0,"NA",(SUMPRODUCT(BE84,BD84)+SUMPRODUCT(BE103,BD103))/AZ65)</f>
        <v>NA</v>
      </c>
      <c r="BF65" s="154" t="str">
        <f t="shared" ref="BF65:BF78" si="144">IFERROR((AZ65/AT65-1),"NA")</f>
        <v>NA</v>
      </c>
      <c r="BG65" s="154" t="str">
        <f t="shared" ref="BG65:BG78" si="145">IFERROR((BA65/AU65-1),"NA")</f>
        <v>NA</v>
      </c>
      <c r="BH65" s="154" t="str">
        <f t="shared" ref="BH65:BH78" si="146">IFERROR((BB65/AV65-1),"NA")</f>
        <v>NA</v>
      </c>
      <c r="BI65" s="154" t="str">
        <f t="shared" ref="BI65:BI78" si="147">IFERROR((BC65/AW65-1),"NA")</f>
        <v>NA</v>
      </c>
      <c r="BJ65" s="154" t="str">
        <f t="shared" ref="BJ65:BJ78" si="148">IFERROR((BD65/AX65-1),"NA")</f>
        <v>NA</v>
      </c>
      <c r="BK65" s="154" t="str">
        <f t="shared" ref="BK65:BK78" si="149">IFERROR((BE65/AY65-1),"NA")</f>
        <v>NA</v>
      </c>
    </row>
    <row r="66" spans="2:63" x14ac:dyDescent="0.35">
      <c r="B66" s="123">
        <v>102</v>
      </c>
      <c r="C66" s="103" t="s">
        <v>292</v>
      </c>
      <c r="D66" s="141">
        <f t="shared" si="96"/>
        <v>0</v>
      </c>
      <c r="E66" s="152" t="str">
        <f t="shared" si="97"/>
        <v>NA</v>
      </c>
      <c r="F66" s="152" t="str">
        <f t="shared" si="98"/>
        <v>NA</v>
      </c>
      <c r="G66" s="152" t="str">
        <f t="shared" si="99"/>
        <v>NA</v>
      </c>
      <c r="H66" s="152" t="str">
        <f t="shared" si="100"/>
        <v>NA</v>
      </c>
      <c r="I66" s="152" t="str">
        <f t="shared" si="101"/>
        <v>NA</v>
      </c>
      <c r="J66" s="141">
        <f t="shared" si="102"/>
        <v>0</v>
      </c>
      <c r="K66" s="152" t="str">
        <f t="shared" si="103"/>
        <v>NA</v>
      </c>
      <c r="L66" s="152" t="str">
        <f t="shared" si="104"/>
        <v>NA</v>
      </c>
      <c r="M66" s="152" t="str">
        <f t="shared" si="105"/>
        <v>NA</v>
      </c>
      <c r="N66" s="152" t="str">
        <f t="shared" si="106"/>
        <v>NA</v>
      </c>
      <c r="O66" s="152" t="str">
        <f t="shared" si="107"/>
        <v>NA</v>
      </c>
      <c r="P66" s="154" t="str">
        <f t="shared" si="108"/>
        <v>NA</v>
      </c>
      <c r="Q66" s="154" t="str">
        <f t="shared" si="109"/>
        <v>NA</v>
      </c>
      <c r="R66" s="154" t="str">
        <f t="shared" si="110"/>
        <v>NA</v>
      </c>
      <c r="S66" s="154" t="str">
        <f t="shared" si="111"/>
        <v>NA</v>
      </c>
      <c r="T66" s="154" t="str">
        <f t="shared" si="112"/>
        <v>NA</v>
      </c>
      <c r="U66" s="154" t="str">
        <f t="shared" si="113"/>
        <v>NA</v>
      </c>
      <c r="W66" s="123">
        <v>102</v>
      </c>
      <c r="X66" s="103" t="s">
        <v>292</v>
      </c>
      <c r="Y66" s="141">
        <f t="shared" si="114"/>
        <v>0</v>
      </c>
      <c r="Z66" s="152" t="str">
        <f t="shared" si="115"/>
        <v>NA</v>
      </c>
      <c r="AA66" s="152" t="str">
        <f t="shared" si="116"/>
        <v>NA</v>
      </c>
      <c r="AB66" s="152" t="str">
        <f t="shared" si="117"/>
        <v>NA</v>
      </c>
      <c r="AC66" s="152" t="str">
        <f t="shared" si="118"/>
        <v>NA</v>
      </c>
      <c r="AD66" s="152" t="str">
        <f t="shared" si="119"/>
        <v>NA</v>
      </c>
      <c r="AE66" s="141">
        <f t="shared" si="120"/>
        <v>0</v>
      </c>
      <c r="AF66" s="152" t="str">
        <f t="shared" si="121"/>
        <v>NA</v>
      </c>
      <c r="AG66" s="152" t="str">
        <f t="shared" si="122"/>
        <v>NA</v>
      </c>
      <c r="AH66" s="152" t="str">
        <f t="shared" si="123"/>
        <v>NA</v>
      </c>
      <c r="AI66" s="152" t="str">
        <f t="shared" si="124"/>
        <v>NA</v>
      </c>
      <c r="AJ66" s="152" t="str">
        <f t="shared" si="125"/>
        <v>NA</v>
      </c>
      <c r="AK66" s="154" t="str">
        <f t="shared" si="126"/>
        <v>NA</v>
      </c>
      <c r="AL66" s="154" t="str">
        <f t="shared" si="127"/>
        <v>NA</v>
      </c>
      <c r="AM66" s="154" t="str">
        <f t="shared" si="128"/>
        <v>NA</v>
      </c>
      <c r="AN66" s="154" t="str">
        <f t="shared" si="129"/>
        <v>NA</v>
      </c>
      <c r="AO66" s="154" t="str">
        <f t="shared" si="130"/>
        <v>NA</v>
      </c>
      <c r="AP66" s="154" t="str">
        <f t="shared" si="131"/>
        <v>NA</v>
      </c>
      <c r="AR66" s="123">
        <v>102</v>
      </c>
      <c r="AS66" s="103" t="s">
        <v>292</v>
      </c>
      <c r="AT66" s="141">
        <f t="shared" si="132"/>
        <v>0</v>
      </c>
      <c r="AU66" s="152" t="str">
        <f t="shared" si="133"/>
        <v>NA</v>
      </c>
      <c r="AV66" s="152" t="str">
        <f t="shared" si="134"/>
        <v>NA</v>
      </c>
      <c r="AW66" s="152" t="str">
        <f t="shared" si="135"/>
        <v>NA</v>
      </c>
      <c r="AX66" s="152" t="str">
        <f t="shared" si="136"/>
        <v>NA</v>
      </c>
      <c r="AY66" s="152" t="str">
        <f t="shared" si="137"/>
        <v>NA</v>
      </c>
      <c r="AZ66" s="141">
        <f t="shared" si="138"/>
        <v>0</v>
      </c>
      <c r="BA66" s="152" t="str">
        <f t="shared" si="139"/>
        <v>NA</v>
      </c>
      <c r="BB66" s="152" t="str">
        <f t="shared" si="140"/>
        <v>NA</v>
      </c>
      <c r="BC66" s="152" t="str">
        <f t="shared" si="141"/>
        <v>NA</v>
      </c>
      <c r="BD66" s="152" t="str">
        <f t="shared" si="142"/>
        <v>NA</v>
      </c>
      <c r="BE66" s="152" t="str">
        <f t="shared" si="143"/>
        <v>NA</v>
      </c>
      <c r="BF66" s="154" t="str">
        <f t="shared" si="144"/>
        <v>NA</v>
      </c>
      <c r="BG66" s="154" t="str">
        <f t="shared" si="145"/>
        <v>NA</v>
      </c>
      <c r="BH66" s="154" t="str">
        <f t="shared" si="146"/>
        <v>NA</v>
      </c>
      <c r="BI66" s="154" t="str">
        <f t="shared" si="147"/>
        <v>NA</v>
      </c>
      <c r="BJ66" s="154" t="str">
        <f t="shared" si="148"/>
        <v>NA</v>
      </c>
      <c r="BK66" s="154" t="str">
        <f t="shared" si="149"/>
        <v>NA</v>
      </c>
    </row>
    <row r="67" spans="2:63" x14ac:dyDescent="0.35">
      <c r="B67" s="123">
        <v>103</v>
      </c>
      <c r="C67" s="103" t="s">
        <v>248</v>
      </c>
      <c r="D67" s="141">
        <f t="shared" si="96"/>
        <v>0</v>
      </c>
      <c r="E67" s="152" t="str">
        <f t="shared" si="97"/>
        <v>NA</v>
      </c>
      <c r="F67" s="152" t="str">
        <f t="shared" si="98"/>
        <v>NA</v>
      </c>
      <c r="G67" s="152" t="str">
        <f t="shared" si="99"/>
        <v>NA</v>
      </c>
      <c r="H67" s="152" t="str">
        <f t="shared" si="100"/>
        <v>NA</v>
      </c>
      <c r="I67" s="152" t="str">
        <f t="shared" si="101"/>
        <v>NA</v>
      </c>
      <c r="J67" s="141">
        <f t="shared" si="102"/>
        <v>0</v>
      </c>
      <c r="K67" s="152" t="str">
        <f t="shared" si="103"/>
        <v>NA</v>
      </c>
      <c r="L67" s="152" t="str">
        <f t="shared" si="104"/>
        <v>NA</v>
      </c>
      <c r="M67" s="152" t="str">
        <f t="shared" si="105"/>
        <v>NA</v>
      </c>
      <c r="N67" s="152" t="str">
        <f t="shared" si="106"/>
        <v>NA</v>
      </c>
      <c r="O67" s="152" t="str">
        <f t="shared" si="107"/>
        <v>NA</v>
      </c>
      <c r="P67" s="154" t="str">
        <f t="shared" si="108"/>
        <v>NA</v>
      </c>
      <c r="Q67" s="154" t="str">
        <f t="shared" si="109"/>
        <v>NA</v>
      </c>
      <c r="R67" s="154" t="str">
        <f t="shared" si="110"/>
        <v>NA</v>
      </c>
      <c r="S67" s="154" t="str">
        <f t="shared" si="111"/>
        <v>NA</v>
      </c>
      <c r="T67" s="154" t="str">
        <f t="shared" si="112"/>
        <v>NA</v>
      </c>
      <c r="U67" s="154" t="str">
        <f t="shared" si="113"/>
        <v>NA</v>
      </c>
      <c r="W67" s="123">
        <v>103</v>
      </c>
      <c r="X67" s="103" t="s">
        <v>248</v>
      </c>
      <c r="Y67" s="141">
        <f t="shared" si="114"/>
        <v>0</v>
      </c>
      <c r="Z67" s="152" t="str">
        <f t="shared" si="115"/>
        <v>NA</v>
      </c>
      <c r="AA67" s="152" t="str">
        <f t="shared" si="116"/>
        <v>NA</v>
      </c>
      <c r="AB67" s="152" t="str">
        <f t="shared" si="117"/>
        <v>NA</v>
      </c>
      <c r="AC67" s="152" t="str">
        <f t="shared" si="118"/>
        <v>NA</v>
      </c>
      <c r="AD67" s="152" t="str">
        <f t="shared" si="119"/>
        <v>NA</v>
      </c>
      <c r="AE67" s="141">
        <f t="shared" si="120"/>
        <v>0</v>
      </c>
      <c r="AF67" s="152" t="str">
        <f t="shared" si="121"/>
        <v>NA</v>
      </c>
      <c r="AG67" s="152" t="str">
        <f t="shared" si="122"/>
        <v>NA</v>
      </c>
      <c r="AH67" s="152" t="str">
        <f t="shared" si="123"/>
        <v>NA</v>
      </c>
      <c r="AI67" s="152" t="str">
        <f t="shared" si="124"/>
        <v>NA</v>
      </c>
      <c r="AJ67" s="152" t="str">
        <f t="shared" si="125"/>
        <v>NA</v>
      </c>
      <c r="AK67" s="154" t="str">
        <f t="shared" si="126"/>
        <v>NA</v>
      </c>
      <c r="AL67" s="154" t="str">
        <f t="shared" si="127"/>
        <v>NA</v>
      </c>
      <c r="AM67" s="154" t="str">
        <f t="shared" si="128"/>
        <v>NA</v>
      </c>
      <c r="AN67" s="154" t="str">
        <f t="shared" si="129"/>
        <v>NA</v>
      </c>
      <c r="AO67" s="154" t="str">
        <f t="shared" si="130"/>
        <v>NA</v>
      </c>
      <c r="AP67" s="154" t="str">
        <f t="shared" si="131"/>
        <v>NA</v>
      </c>
      <c r="AR67" s="123">
        <v>103</v>
      </c>
      <c r="AS67" s="103" t="s">
        <v>248</v>
      </c>
      <c r="AT67" s="141">
        <f t="shared" si="132"/>
        <v>0</v>
      </c>
      <c r="AU67" s="152" t="str">
        <f t="shared" si="133"/>
        <v>NA</v>
      </c>
      <c r="AV67" s="152" t="str">
        <f t="shared" si="134"/>
        <v>NA</v>
      </c>
      <c r="AW67" s="152" t="str">
        <f t="shared" si="135"/>
        <v>NA</v>
      </c>
      <c r="AX67" s="152" t="str">
        <f t="shared" si="136"/>
        <v>NA</v>
      </c>
      <c r="AY67" s="152" t="str">
        <f t="shared" si="137"/>
        <v>NA</v>
      </c>
      <c r="AZ67" s="141">
        <f t="shared" si="138"/>
        <v>0</v>
      </c>
      <c r="BA67" s="152" t="str">
        <f t="shared" si="139"/>
        <v>NA</v>
      </c>
      <c r="BB67" s="152" t="str">
        <f t="shared" si="140"/>
        <v>NA</v>
      </c>
      <c r="BC67" s="152" t="str">
        <f t="shared" si="141"/>
        <v>NA</v>
      </c>
      <c r="BD67" s="152" t="str">
        <f t="shared" si="142"/>
        <v>NA</v>
      </c>
      <c r="BE67" s="152" t="str">
        <f t="shared" si="143"/>
        <v>NA</v>
      </c>
      <c r="BF67" s="154" t="str">
        <f t="shared" si="144"/>
        <v>NA</v>
      </c>
      <c r="BG67" s="154" t="str">
        <f t="shared" si="145"/>
        <v>NA</v>
      </c>
      <c r="BH67" s="154" t="str">
        <f t="shared" si="146"/>
        <v>NA</v>
      </c>
      <c r="BI67" s="154" t="str">
        <f t="shared" si="147"/>
        <v>NA</v>
      </c>
      <c r="BJ67" s="154" t="str">
        <f t="shared" si="148"/>
        <v>NA</v>
      </c>
      <c r="BK67" s="154" t="str">
        <f t="shared" si="149"/>
        <v>NA</v>
      </c>
    </row>
    <row r="68" spans="2:63" x14ac:dyDescent="0.35">
      <c r="B68" s="123">
        <v>104</v>
      </c>
      <c r="C68" s="103" t="s">
        <v>249</v>
      </c>
      <c r="D68" s="141">
        <f t="shared" si="96"/>
        <v>0</v>
      </c>
      <c r="E68" s="152" t="str">
        <f t="shared" si="97"/>
        <v>NA</v>
      </c>
      <c r="F68" s="152" t="str">
        <f t="shared" si="98"/>
        <v>NA</v>
      </c>
      <c r="G68" s="152" t="str">
        <f t="shared" si="99"/>
        <v>NA</v>
      </c>
      <c r="H68" s="152" t="str">
        <f t="shared" si="100"/>
        <v>NA</v>
      </c>
      <c r="I68" s="152" t="str">
        <f t="shared" si="101"/>
        <v>NA</v>
      </c>
      <c r="J68" s="141">
        <f t="shared" si="102"/>
        <v>0</v>
      </c>
      <c r="K68" s="152" t="str">
        <f t="shared" si="103"/>
        <v>NA</v>
      </c>
      <c r="L68" s="152" t="str">
        <f t="shared" si="104"/>
        <v>NA</v>
      </c>
      <c r="M68" s="152" t="str">
        <f t="shared" si="105"/>
        <v>NA</v>
      </c>
      <c r="N68" s="152" t="str">
        <f t="shared" si="106"/>
        <v>NA</v>
      </c>
      <c r="O68" s="152" t="str">
        <f t="shared" si="107"/>
        <v>NA</v>
      </c>
      <c r="P68" s="154" t="str">
        <f t="shared" si="108"/>
        <v>NA</v>
      </c>
      <c r="Q68" s="154" t="str">
        <f t="shared" si="109"/>
        <v>NA</v>
      </c>
      <c r="R68" s="154" t="str">
        <f t="shared" si="110"/>
        <v>NA</v>
      </c>
      <c r="S68" s="154" t="str">
        <f t="shared" si="111"/>
        <v>NA</v>
      </c>
      <c r="T68" s="154" t="str">
        <f t="shared" si="112"/>
        <v>NA</v>
      </c>
      <c r="U68" s="154" t="str">
        <f t="shared" si="113"/>
        <v>NA</v>
      </c>
      <c r="W68" s="123">
        <v>104</v>
      </c>
      <c r="X68" s="103" t="s">
        <v>249</v>
      </c>
      <c r="Y68" s="141">
        <f t="shared" si="114"/>
        <v>0</v>
      </c>
      <c r="Z68" s="152" t="str">
        <f t="shared" si="115"/>
        <v>NA</v>
      </c>
      <c r="AA68" s="152" t="str">
        <f t="shared" si="116"/>
        <v>NA</v>
      </c>
      <c r="AB68" s="152" t="str">
        <f t="shared" si="117"/>
        <v>NA</v>
      </c>
      <c r="AC68" s="152" t="str">
        <f t="shared" si="118"/>
        <v>NA</v>
      </c>
      <c r="AD68" s="152" t="str">
        <f t="shared" si="119"/>
        <v>NA</v>
      </c>
      <c r="AE68" s="141">
        <f t="shared" si="120"/>
        <v>0</v>
      </c>
      <c r="AF68" s="152" t="str">
        <f t="shared" si="121"/>
        <v>NA</v>
      </c>
      <c r="AG68" s="152" t="str">
        <f t="shared" si="122"/>
        <v>NA</v>
      </c>
      <c r="AH68" s="152" t="str">
        <f t="shared" si="123"/>
        <v>NA</v>
      </c>
      <c r="AI68" s="152" t="str">
        <f t="shared" si="124"/>
        <v>NA</v>
      </c>
      <c r="AJ68" s="152" t="str">
        <f t="shared" si="125"/>
        <v>NA</v>
      </c>
      <c r="AK68" s="154" t="str">
        <f t="shared" si="126"/>
        <v>NA</v>
      </c>
      <c r="AL68" s="154" t="str">
        <f t="shared" si="127"/>
        <v>NA</v>
      </c>
      <c r="AM68" s="154" t="str">
        <f t="shared" si="128"/>
        <v>NA</v>
      </c>
      <c r="AN68" s="154" t="str">
        <f t="shared" si="129"/>
        <v>NA</v>
      </c>
      <c r="AO68" s="154" t="str">
        <f t="shared" si="130"/>
        <v>NA</v>
      </c>
      <c r="AP68" s="154" t="str">
        <f t="shared" si="131"/>
        <v>NA</v>
      </c>
      <c r="AR68" s="123">
        <v>104</v>
      </c>
      <c r="AS68" s="103" t="s">
        <v>249</v>
      </c>
      <c r="AT68" s="141">
        <f t="shared" si="132"/>
        <v>0</v>
      </c>
      <c r="AU68" s="152" t="str">
        <f t="shared" si="133"/>
        <v>NA</v>
      </c>
      <c r="AV68" s="152" t="str">
        <f t="shared" si="134"/>
        <v>NA</v>
      </c>
      <c r="AW68" s="152" t="str">
        <f t="shared" si="135"/>
        <v>NA</v>
      </c>
      <c r="AX68" s="152" t="str">
        <f t="shared" si="136"/>
        <v>NA</v>
      </c>
      <c r="AY68" s="152" t="str">
        <f t="shared" si="137"/>
        <v>NA</v>
      </c>
      <c r="AZ68" s="141">
        <f t="shared" si="138"/>
        <v>0</v>
      </c>
      <c r="BA68" s="152" t="str">
        <f t="shared" si="139"/>
        <v>NA</v>
      </c>
      <c r="BB68" s="152" t="str">
        <f t="shared" si="140"/>
        <v>NA</v>
      </c>
      <c r="BC68" s="152" t="str">
        <f t="shared" si="141"/>
        <v>NA</v>
      </c>
      <c r="BD68" s="152" t="str">
        <f t="shared" si="142"/>
        <v>NA</v>
      </c>
      <c r="BE68" s="152" t="str">
        <f t="shared" si="143"/>
        <v>NA</v>
      </c>
      <c r="BF68" s="154" t="str">
        <f t="shared" si="144"/>
        <v>NA</v>
      </c>
      <c r="BG68" s="154" t="str">
        <f t="shared" si="145"/>
        <v>NA</v>
      </c>
      <c r="BH68" s="154" t="str">
        <f t="shared" si="146"/>
        <v>NA</v>
      </c>
      <c r="BI68" s="154" t="str">
        <f t="shared" si="147"/>
        <v>NA</v>
      </c>
      <c r="BJ68" s="154" t="str">
        <f t="shared" si="148"/>
        <v>NA</v>
      </c>
      <c r="BK68" s="154" t="str">
        <f t="shared" si="149"/>
        <v>NA</v>
      </c>
    </row>
    <row r="69" spans="2:63" x14ac:dyDescent="0.35">
      <c r="B69" s="123">
        <v>105</v>
      </c>
      <c r="C69" s="103" t="s">
        <v>293</v>
      </c>
      <c r="D69" s="141">
        <f t="shared" si="96"/>
        <v>0</v>
      </c>
      <c r="E69" s="152" t="str">
        <f t="shared" si="97"/>
        <v>NA</v>
      </c>
      <c r="F69" s="152" t="str">
        <f t="shared" si="98"/>
        <v>NA</v>
      </c>
      <c r="G69" s="152" t="str">
        <f t="shared" si="99"/>
        <v>NA</v>
      </c>
      <c r="H69" s="152" t="str">
        <f t="shared" si="100"/>
        <v>NA</v>
      </c>
      <c r="I69" s="152" t="str">
        <f t="shared" si="101"/>
        <v>NA</v>
      </c>
      <c r="J69" s="141">
        <f t="shared" si="102"/>
        <v>0</v>
      </c>
      <c r="K69" s="152" t="str">
        <f t="shared" si="103"/>
        <v>NA</v>
      </c>
      <c r="L69" s="152" t="str">
        <f t="shared" si="104"/>
        <v>NA</v>
      </c>
      <c r="M69" s="152" t="str">
        <f t="shared" si="105"/>
        <v>NA</v>
      </c>
      <c r="N69" s="152" t="str">
        <f t="shared" si="106"/>
        <v>NA</v>
      </c>
      <c r="O69" s="152" t="str">
        <f t="shared" si="107"/>
        <v>NA</v>
      </c>
      <c r="P69" s="154" t="str">
        <f t="shared" si="108"/>
        <v>NA</v>
      </c>
      <c r="Q69" s="154" t="str">
        <f t="shared" si="109"/>
        <v>NA</v>
      </c>
      <c r="R69" s="154" t="str">
        <f t="shared" si="110"/>
        <v>NA</v>
      </c>
      <c r="S69" s="154" t="str">
        <f t="shared" si="111"/>
        <v>NA</v>
      </c>
      <c r="T69" s="154" t="str">
        <f t="shared" si="112"/>
        <v>NA</v>
      </c>
      <c r="U69" s="154" t="str">
        <f t="shared" si="113"/>
        <v>NA</v>
      </c>
      <c r="W69" s="123">
        <v>105</v>
      </c>
      <c r="X69" s="103" t="s">
        <v>293</v>
      </c>
      <c r="Y69" s="141">
        <f t="shared" si="114"/>
        <v>0</v>
      </c>
      <c r="Z69" s="152" t="str">
        <f t="shared" si="115"/>
        <v>NA</v>
      </c>
      <c r="AA69" s="152" t="str">
        <f t="shared" si="116"/>
        <v>NA</v>
      </c>
      <c r="AB69" s="152" t="str">
        <f t="shared" si="117"/>
        <v>NA</v>
      </c>
      <c r="AC69" s="152" t="str">
        <f t="shared" si="118"/>
        <v>NA</v>
      </c>
      <c r="AD69" s="152" t="str">
        <f t="shared" si="119"/>
        <v>NA</v>
      </c>
      <c r="AE69" s="141">
        <f t="shared" si="120"/>
        <v>0</v>
      </c>
      <c r="AF69" s="152" t="str">
        <f t="shared" si="121"/>
        <v>NA</v>
      </c>
      <c r="AG69" s="152" t="str">
        <f t="shared" si="122"/>
        <v>NA</v>
      </c>
      <c r="AH69" s="152" t="str">
        <f t="shared" si="123"/>
        <v>NA</v>
      </c>
      <c r="AI69" s="152" t="str">
        <f t="shared" si="124"/>
        <v>NA</v>
      </c>
      <c r="AJ69" s="152" t="str">
        <f t="shared" si="125"/>
        <v>NA</v>
      </c>
      <c r="AK69" s="154" t="str">
        <f t="shared" si="126"/>
        <v>NA</v>
      </c>
      <c r="AL69" s="154" t="str">
        <f t="shared" si="127"/>
        <v>NA</v>
      </c>
      <c r="AM69" s="154" t="str">
        <f t="shared" si="128"/>
        <v>NA</v>
      </c>
      <c r="AN69" s="154" t="str">
        <f t="shared" si="129"/>
        <v>NA</v>
      </c>
      <c r="AO69" s="154" t="str">
        <f t="shared" si="130"/>
        <v>NA</v>
      </c>
      <c r="AP69" s="154" t="str">
        <f t="shared" si="131"/>
        <v>NA</v>
      </c>
      <c r="AR69" s="123">
        <v>105</v>
      </c>
      <c r="AS69" s="103" t="s">
        <v>293</v>
      </c>
      <c r="AT69" s="141">
        <f t="shared" si="132"/>
        <v>0</v>
      </c>
      <c r="AU69" s="152" t="str">
        <f t="shared" si="133"/>
        <v>NA</v>
      </c>
      <c r="AV69" s="152" t="str">
        <f t="shared" si="134"/>
        <v>NA</v>
      </c>
      <c r="AW69" s="152" t="str">
        <f t="shared" si="135"/>
        <v>NA</v>
      </c>
      <c r="AX69" s="152" t="str">
        <f t="shared" si="136"/>
        <v>NA</v>
      </c>
      <c r="AY69" s="152" t="str">
        <f t="shared" si="137"/>
        <v>NA</v>
      </c>
      <c r="AZ69" s="141">
        <f t="shared" si="138"/>
        <v>0</v>
      </c>
      <c r="BA69" s="152" t="str">
        <f t="shared" si="139"/>
        <v>NA</v>
      </c>
      <c r="BB69" s="152" t="str">
        <f t="shared" si="140"/>
        <v>NA</v>
      </c>
      <c r="BC69" s="152" t="str">
        <f t="shared" si="141"/>
        <v>NA</v>
      </c>
      <c r="BD69" s="152" t="str">
        <f t="shared" si="142"/>
        <v>NA</v>
      </c>
      <c r="BE69" s="152" t="str">
        <f t="shared" si="143"/>
        <v>NA</v>
      </c>
      <c r="BF69" s="154" t="str">
        <f t="shared" si="144"/>
        <v>NA</v>
      </c>
      <c r="BG69" s="154" t="str">
        <f t="shared" si="145"/>
        <v>NA</v>
      </c>
      <c r="BH69" s="154" t="str">
        <f t="shared" si="146"/>
        <v>NA</v>
      </c>
      <c r="BI69" s="154" t="str">
        <f t="shared" si="147"/>
        <v>NA</v>
      </c>
      <c r="BJ69" s="154" t="str">
        <f t="shared" si="148"/>
        <v>NA</v>
      </c>
      <c r="BK69" s="154" t="str">
        <f t="shared" si="149"/>
        <v>NA</v>
      </c>
    </row>
    <row r="70" spans="2:63" x14ac:dyDescent="0.35">
      <c r="B70" s="123">
        <v>106</v>
      </c>
      <c r="C70" s="103" t="s">
        <v>250</v>
      </c>
      <c r="D70" s="141">
        <f t="shared" si="96"/>
        <v>0</v>
      </c>
      <c r="E70" s="152" t="str">
        <f t="shared" si="97"/>
        <v>NA</v>
      </c>
      <c r="F70" s="152" t="str">
        <f t="shared" si="98"/>
        <v>NA</v>
      </c>
      <c r="G70" s="152" t="str">
        <f t="shared" si="99"/>
        <v>NA</v>
      </c>
      <c r="H70" s="152" t="str">
        <f t="shared" si="100"/>
        <v>NA</v>
      </c>
      <c r="I70" s="152" t="str">
        <f t="shared" si="101"/>
        <v>NA</v>
      </c>
      <c r="J70" s="141">
        <f t="shared" si="102"/>
        <v>0</v>
      </c>
      <c r="K70" s="152" t="str">
        <f t="shared" si="103"/>
        <v>NA</v>
      </c>
      <c r="L70" s="152" t="str">
        <f t="shared" si="104"/>
        <v>NA</v>
      </c>
      <c r="M70" s="152" t="str">
        <f t="shared" si="105"/>
        <v>NA</v>
      </c>
      <c r="N70" s="152" t="str">
        <f t="shared" si="106"/>
        <v>NA</v>
      </c>
      <c r="O70" s="152" t="str">
        <f t="shared" si="107"/>
        <v>NA</v>
      </c>
      <c r="P70" s="154" t="str">
        <f t="shared" si="108"/>
        <v>NA</v>
      </c>
      <c r="Q70" s="154" t="str">
        <f t="shared" si="109"/>
        <v>NA</v>
      </c>
      <c r="R70" s="154" t="str">
        <f t="shared" si="110"/>
        <v>NA</v>
      </c>
      <c r="S70" s="154" t="str">
        <f t="shared" si="111"/>
        <v>NA</v>
      </c>
      <c r="T70" s="154" t="str">
        <f t="shared" si="112"/>
        <v>NA</v>
      </c>
      <c r="U70" s="154" t="str">
        <f t="shared" si="113"/>
        <v>NA</v>
      </c>
      <c r="W70" s="123">
        <v>106</v>
      </c>
      <c r="X70" s="103" t="s">
        <v>250</v>
      </c>
      <c r="Y70" s="141">
        <f t="shared" si="114"/>
        <v>0</v>
      </c>
      <c r="Z70" s="152" t="str">
        <f t="shared" si="115"/>
        <v>NA</v>
      </c>
      <c r="AA70" s="152" t="str">
        <f t="shared" si="116"/>
        <v>NA</v>
      </c>
      <c r="AB70" s="152" t="str">
        <f t="shared" si="117"/>
        <v>NA</v>
      </c>
      <c r="AC70" s="152" t="str">
        <f t="shared" si="118"/>
        <v>NA</v>
      </c>
      <c r="AD70" s="152" t="str">
        <f t="shared" si="119"/>
        <v>NA</v>
      </c>
      <c r="AE70" s="141">
        <f t="shared" si="120"/>
        <v>0</v>
      </c>
      <c r="AF70" s="152" t="str">
        <f t="shared" si="121"/>
        <v>NA</v>
      </c>
      <c r="AG70" s="152" t="str">
        <f t="shared" si="122"/>
        <v>NA</v>
      </c>
      <c r="AH70" s="152" t="str">
        <f t="shared" si="123"/>
        <v>NA</v>
      </c>
      <c r="AI70" s="152" t="str">
        <f t="shared" si="124"/>
        <v>NA</v>
      </c>
      <c r="AJ70" s="152" t="str">
        <f t="shared" si="125"/>
        <v>NA</v>
      </c>
      <c r="AK70" s="154" t="str">
        <f t="shared" si="126"/>
        <v>NA</v>
      </c>
      <c r="AL70" s="154" t="str">
        <f t="shared" si="127"/>
        <v>NA</v>
      </c>
      <c r="AM70" s="154" t="str">
        <f t="shared" si="128"/>
        <v>NA</v>
      </c>
      <c r="AN70" s="154" t="str">
        <f t="shared" si="129"/>
        <v>NA</v>
      </c>
      <c r="AO70" s="154" t="str">
        <f t="shared" si="130"/>
        <v>NA</v>
      </c>
      <c r="AP70" s="154" t="str">
        <f t="shared" si="131"/>
        <v>NA</v>
      </c>
      <c r="AR70" s="123">
        <v>106</v>
      </c>
      <c r="AS70" s="103" t="s">
        <v>250</v>
      </c>
      <c r="AT70" s="141">
        <f t="shared" si="132"/>
        <v>0</v>
      </c>
      <c r="AU70" s="152" t="str">
        <f t="shared" si="133"/>
        <v>NA</v>
      </c>
      <c r="AV70" s="152" t="str">
        <f t="shared" si="134"/>
        <v>NA</v>
      </c>
      <c r="AW70" s="152" t="str">
        <f t="shared" si="135"/>
        <v>NA</v>
      </c>
      <c r="AX70" s="152" t="str">
        <f t="shared" si="136"/>
        <v>NA</v>
      </c>
      <c r="AY70" s="152" t="str">
        <f t="shared" si="137"/>
        <v>NA</v>
      </c>
      <c r="AZ70" s="141">
        <f t="shared" si="138"/>
        <v>0</v>
      </c>
      <c r="BA70" s="152" t="str">
        <f t="shared" si="139"/>
        <v>NA</v>
      </c>
      <c r="BB70" s="152" t="str">
        <f t="shared" si="140"/>
        <v>NA</v>
      </c>
      <c r="BC70" s="152" t="str">
        <f t="shared" si="141"/>
        <v>NA</v>
      </c>
      <c r="BD70" s="152" t="str">
        <f t="shared" si="142"/>
        <v>NA</v>
      </c>
      <c r="BE70" s="152" t="str">
        <f t="shared" si="143"/>
        <v>NA</v>
      </c>
      <c r="BF70" s="154" t="str">
        <f t="shared" si="144"/>
        <v>NA</v>
      </c>
      <c r="BG70" s="154" t="str">
        <f t="shared" si="145"/>
        <v>NA</v>
      </c>
      <c r="BH70" s="154" t="str">
        <f t="shared" si="146"/>
        <v>NA</v>
      </c>
      <c r="BI70" s="154" t="str">
        <f t="shared" si="147"/>
        <v>NA</v>
      </c>
      <c r="BJ70" s="154" t="str">
        <f t="shared" si="148"/>
        <v>NA</v>
      </c>
      <c r="BK70" s="154" t="str">
        <f t="shared" si="149"/>
        <v>NA</v>
      </c>
    </row>
    <row r="71" spans="2:63" x14ac:dyDescent="0.35">
      <c r="B71" s="123">
        <v>107</v>
      </c>
      <c r="C71" s="103" t="s">
        <v>251</v>
      </c>
      <c r="D71" s="141">
        <f t="shared" si="96"/>
        <v>0</v>
      </c>
      <c r="E71" s="152" t="str">
        <f t="shared" si="97"/>
        <v>NA</v>
      </c>
      <c r="F71" s="152" t="str">
        <f t="shared" si="98"/>
        <v>NA</v>
      </c>
      <c r="G71" s="152" t="str">
        <f t="shared" si="99"/>
        <v>NA</v>
      </c>
      <c r="H71" s="152" t="str">
        <f t="shared" si="100"/>
        <v>NA</v>
      </c>
      <c r="I71" s="152" t="str">
        <f t="shared" si="101"/>
        <v>NA</v>
      </c>
      <c r="J71" s="141">
        <f t="shared" si="102"/>
        <v>0</v>
      </c>
      <c r="K71" s="152" t="str">
        <f t="shared" si="103"/>
        <v>NA</v>
      </c>
      <c r="L71" s="152" t="str">
        <f t="shared" si="104"/>
        <v>NA</v>
      </c>
      <c r="M71" s="152" t="str">
        <f t="shared" si="105"/>
        <v>NA</v>
      </c>
      <c r="N71" s="152" t="str">
        <f t="shared" si="106"/>
        <v>NA</v>
      </c>
      <c r="O71" s="152" t="str">
        <f t="shared" si="107"/>
        <v>NA</v>
      </c>
      <c r="P71" s="154" t="str">
        <f t="shared" si="108"/>
        <v>NA</v>
      </c>
      <c r="Q71" s="154" t="str">
        <f t="shared" si="109"/>
        <v>NA</v>
      </c>
      <c r="R71" s="154" t="str">
        <f t="shared" si="110"/>
        <v>NA</v>
      </c>
      <c r="S71" s="154" t="str">
        <f t="shared" si="111"/>
        <v>NA</v>
      </c>
      <c r="T71" s="154" t="str">
        <f t="shared" si="112"/>
        <v>NA</v>
      </c>
      <c r="U71" s="154" t="str">
        <f t="shared" si="113"/>
        <v>NA</v>
      </c>
      <c r="W71" s="123">
        <v>107</v>
      </c>
      <c r="X71" s="103" t="s">
        <v>251</v>
      </c>
      <c r="Y71" s="141">
        <f t="shared" si="114"/>
        <v>0</v>
      </c>
      <c r="Z71" s="152" t="str">
        <f t="shared" si="115"/>
        <v>NA</v>
      </c>
      <c r="AA71" s="152" t="str">
        <f t="shared" si="116"/>
        <v>NA</v>
      </c>
      <c r="AB71" s="152" t="str">
        <f t="shared" si="117"/>
        <v>NA</v>
      </c>
      <c r="AC71" s="152" t="str">
        <f t="shared" si="118"/>
        <v>NA</v>
      </c>
      <c r="AD71" s="152" t="str">
        <f t="shared" si="119"/>
        <v>NA</v>
      </c>
      <c r="AE71" s="141">
        <f t="shared" si="120"/>
        <v>0</v>
      </c>
      <c r="AF71" s="152" t="str">
        <f t="shared" si="121"/>
        <v>NA</v>
      </c>
      <c r="AG71" s="152" t="str">
        <f t="shared" si="122"/>
        <v>NA</v>
      </c>
      <c r="AH71" s="152" t="str">
        <f t="shared" si="123"/>
        <v>NA</v>
      </c>
      <c r="AI71" s="152" t="str">
        <f t="shared" si="124"/>
        <v>NA</v>
      </c>
      <c r="AJ71" s="152" t="str">
        <f t="shared" si="125"/>
        <v>NA</v>
      </c>
      <c r="AK71" s="154" t="str">
        <f t="shared" si="126"/>
        <v>NA</v>
      </c>
      <c r="AL71" s="154" t="str">
        <f t="shared" si="127"/>
        <v>NA</v>
      </c>
      <c r="AM71" s="154" t="str">
        <f t="shared" si="128"/>
        <v>NA</v>
      </c>
      <c r="AN71" s="154" t="str">
        <f t="shared" si="129"/>
        <v>NA</v>
      </c>
      <c r="AO71" s="154" t="str">
        <f t="shared" si="130"/>
        <v>NA</v>
      </c>
      <c r="AP71" s="154" t="str">
        <f t="shared" si="131"/>
        <v>NA</v>
      </c>
      <c r="AR71" s="123">
        <v>107</v>
      </c>
      <c r="AS71" s="103" t="s">
        <v>251</v>
      </c>
      <c r="AT71" s="141">
        <f t="shared" si="132"/>
        <v>0</v>
      </c>
      <c r="AU71" s="152" t="str">
        <f t="shared" si="133"/>
        <v>NA</v>
      </c>
      <c r="AV71" s="152" t="str">
        <f t="shared" si="134"/>
        <v>NA</v>
      </c>
      <c r="AW71" s="152" t="str">
        <f t="shared" si="135"/>
        <v>NA</v>
      </c>
      <c r="AX71" s="152" t="str">
        <f t="shared" si="136"/>
        <v>NA</v>
      </c>
      <c r="AY71" s="152" t="str">
        <f t="shared" si="137"/>
        <v>NA</v>
      </c>
      <c r="AZ71" s="141">
        <f t="shared" si="138"/>
        <v>0</v>
      </c>
      <c r="BA71" s="152" t="str">
        <f t="shared" si="139"/>
        <v>NA</v>
      </c>
      <c r="BB71" s="152" t="str">
        <f t="shared" si="140"/>
        <v>NA</v>
      </c>
      <c r="BC71" s="152" t="str">
        <f t="shared" si="141"/>
        <v>NA</v>
      </c>
      <c r="BD71" s="152" t="str">
        <f t="shared" si="142"/>
        <v>NA</v>
      </c>
      <c r="BE71" s="152" t="str">
        <f t="shared" si="143"/>
        <v>NA</v>
      </c>
      <c r="BF71" s="154" t="str">
        <f t="shared" si="144"/>
        <v>NA</v>
      </c>
      <c r="BG71" s="154" t="str">
        <f t="shared" si="145"/>
        <v>NA</v>
      </c>
      <c r="BH71" s="154" t="str">
        <f t="shared" si="146"/>
        <v>NA</v>
      </c>
      <c r="BI71" s="154" t="str">
        <f t="shared" si="147"/>
        <v>NA</v>
      </c>
      <c r="BJ71" s="154" t="str">
        <f t="shared" si="148"/>
        <v>NA</v>
      </c>
      <c r="BK71" s="154" t="str">
        <f t="shared" si="149"/>
        <v>NA</v>
      </c>
    </row>
    <row r="72" spans="2:63" x14ac:dyDescent="0.35">
      <c r="B72" s="123">
        <v>108</v>
      </c>
      <c r="C72" s="103" t="s">
        <v>252</v>
      </c>
      <c r="D72" s="141">
        <f t="shared" si="96"/>
        <v>0</v>
      </c>
      <c r="E72" s="152" t="str">
        <f t="shared" si="97"/>
        <v>NA</v>
      </c>
      <c r="F72" s="152" t="str">
        <f t="shared" si="98"/>
        <v>NA</v>
      </c>
      <c r="G72" s="152" t="str">
        <f t="shared" si="99"/>
        <v>NA</v>
      </c>
      <c r="H72" s="152" t="str">
        <f t="shared" si="100"/>
        <v>NA</v>
      </c>
      <c r="I72" s="152" t="str">
        <f t="shared" si="101"/>
        <v>NA</v>
      </c>
      <c r="J72" s="141">
        <f t="shared" si="102"/>
        <v>0</v>
      </c>
      <c r="K72" s="152" t="str">
        <f t="shared" si="103"/>
        <v>NA</v>
      </c>
      <c r="L72" s="152" t="str">
        <f t="shared" si="104"/>
        <v>NA</v>
      </c>
      <c r="M72" s="152" t="str">
        <f t="shared" si="105"/>
        <v>NA</v>
      </c>
      <c r="N72" s="152" t="str">
        <f t="shared" si="106"/>
        <v>NA</v>
      </c>
      <c r="O72" s="152" t="str">
        <f t="shared" si="107"/>
        <v>NA</v>
      </c>
      <c r="P72" s="154" t="str">
        <f t="shared" si="108"/>
        <v>NA</v>
      </c>
      <c r="Q72" s="154" t="str">
        <f t="shared" si="109"/>
        <v>NA</v>
      </c>
      <c r="R72" s="154" t="str">
        <f t="shared" si="110"/>
        <v>NA</v>
      </c>
      <c r="S72" s="154" t="str">
        <f t="shared" si="111"/>
        <v>NA</v>
      </c>
      <c r="T72" s="154" t="str">
        <f t="shared" si="112"/>
        <v>NA</v>
      </c>
      <c r="U72" s="154" t="str">
        <f t="shared" si="113"/>
        <v>NA</v>
      </c>
      <c r="W72" s="123">
        <v>108</v>
      </c>
      <c r="X72" s="103" t="s">
        <v>252</v>
      </c>
      <c r="Y72" s="141">
        <f t="shared" si="114"/>
        <v>0</v>
      </c>
      <c r="Z72" s="152" t="str">
        <f t="shared" si="115"/>
        <v>NA</v>
      </c>
      <c r="AA72" s="152" t="str">
        <f t="shared" si="116"/>
        <v>NA</v>
      </c>
      <c r="AB72" s="152" t="str">
        <f t="shared" si="117"/>
        <v>NA</v>
      </c>
      <c r="AC72" s="152" t="str">
        <f t="shared" si="118"/>
        <v>NA</v>
      </c>
      <c r="AD72" s="152" t="str">
        <f t="shared" si="119"/>
        <v>NA</v>
      </c>
      <c r="AE72" s="141">
        <f t="shared" si="120"/>
        <v>0</v>
      </c>
      <c r="AF72" s="152" t="str">
        <f t="shared" si="121"/>
        <v>NA</v>
      </c>
      <c r="AG72" s="152" t="str">
        <f t="shared" si="122"/>
        <v>NA</v>
      </c>
      <c r="AH72" s="152" t="str">
        <f t="shared" si="123"/>
        <v>NA</v>
      </c>
      <c r="AI72" s="152" t="str">
        <f t="shared" si="124"/>
        <v>NA</v>
      </c>
      <c r="AJ72" s="152" t="str">
        <f t="shared" si="125"/>
        <v>NA</v>
      </c>
      <c r="AK72" s="154" t="str">
        <f t="shared" si="126"/>
        <v>NA</v>
      </c>
      <c r="AL72" s="154" t="str">
        <f t="shared" si="127"/>
        <v>NA</v>
      </c>
      <c r="AM72" s="154" t="str">
        <f t="shared" si="128"/>
        <v>NA</v>
      </c>
      <c r="AN72" s="154" t="str">
        <f t="shared" si="129"/>
        <v>NA</v>
      </c>
      <c r="AO72" s="154" t="str">
        <f t="shared" si="130"/>
        <v>NA</v>
      </c>
      <c r="AP72" s="154" t="str">
        <f t="shared" si="131"/>
        <v>NA</v>
      </c>
      <c r="AR72" s="123">
        <v>108</v>
      </c>
      <c r="AS72" s="103" t="s">
        <v>252</v>
      </c>
      <c r="AT72" s="141">
        <f t="shared" si="132"/>
        <v>0</v>
      </c>
      <c r="AU72" s="152" t="str">
        <f t="shared" si="133"/>
        <v>NA</v>
      </c>
      <c r="AV72" s="152" t="str">
        <f t="shared" si="134"/>
        <v>NA</v>
      </c>
      <c r="AW72" s="152" t="str">
        <f t="shared" si="135"/>
        <v>NA</v>
      </c>
      <c r="AX72" s="152" t="str">
        <f t="shared" si="136"/>
        <v>NA</v>
      </c>
      <c r="AY72" s="152" t="str">
        <f t="shared" si="137"/>
        <v>NA</v>
      </c>
      <c r="AZ72" s="141">
        <f t="shared" si="138"/>
        <v>0</v>
      </c>
      <c r="BA72" s="152" t="str">
        <f t="shared" si="139"/>
        <v>NA</v>
      </c>
      <c r="BB72" s="152" t="str">
        <f t="shared" si="140"/>
        <v>NA</v>
      </c>
      <c r="BC72" s="152" t="str">
        <f t="shared" si="141"/>
        <v>NA</v>
      </c>
      <c r="BD72" s="152" t="str">
        <f t="shared" si="142"/>
        <v>NA</v>
      </c>
      <c r="BE72" s="152" t="str">
        <f t="shared" si="143"/>
        <v>NA</v>
      </c>
      <c r="BF72" s="154" t="str">
        <f t="shared" si="144"/>
        <v>NA</v>
      </c>
      <c r="BG72" s="154" t="str">
        <f t="shared" si="145"/>
        <v>NA</v>
      </c>
      <c r="BH72" s="154" t="str">
        <f t="shared" si="146"/>
        <v>NA</v>
      </c>
      <c r="BI72" s="154" t="str">
        <f t="shared" si="147"/>
        <v>NA</v>
      </c>
      <c r="BJ72" s="154" t="str">
        <f t="shared" si="148"/>
        <v>NA</v>
      </c>
      <c r="BK72" s="154" t="str">
        <f t="shared" si="149"/>
        <v>NA</v>
      </c>
    </row>
    <row r="73" spans="2:63" x14ac:dyDescent="0.35">
      <c r="B73" s="123">
        <v>109</v>
      </c>
      <c r="C73" s="103" t="s">
        <v>253</v>
      </c>
      <c r="D73" s="141">
        <f t="shared" si="96"/>
        <v>0</v>
      </c>
      <c r="E73" s="152" t="str">
        <f t="shared" si="97"/>
        <v>NA</v>
      </c>
      <c r="F73" s="152" t="str">
        <f t="shared" si="98"/>
        <v>NA</v>
      </c>
      <c r="G73" s="152" t="str">
        <f t="shared" si="99"/>
        <v>NA</v>
      </c>
      <c r="H73" s="152" t="str">
        <f t="shared" si="100"/>
        <v>NA</v>
      </c>
      <c r="I73" s="152" t="str">
        <f t="shared" si="101"/>
        <v>NA</v>
      </c>
      <c r="J73" s="141">
        <f t="shared" si="102"/>
        <v>0</v>
      </c>
      <c r="K73" s="152" t="str">
        <f t="shared" si="103"/>
        <v>NA</v>
      </c>
      <c r="L73" s="152" t="str">
        <f t="shared" si="104"/>
        <v>NA</v>
      </c>
      <c r="M73" s="152" t="str">
        <f t="shared" si="105"/>
        <v>NA</v>
      </c>
      <c r="N73" s="152" t="str">
        <f t="shared" si="106"/>
        <v>NA</v>
      </c>
      <c r="O73" s="152" t="str">
        <f t="shared" si="107"/>
        <v>NA</v>
      </c>
      <c r="P73" s="154" t="str">
        <f t="shared" si="108"/>
        <v>NA</v>
      </c>
      <c r="Q73" s="154" t="str">
        <f t="shared" si="109"/>
        <v>NA</v>
      </c>
      <c r="R73" s="154" t="str">
        <f t="shared" si="110"/>
        <v>NA</v>
      </c>
      <c r="S73" s="154" t="str">
        <f t="shared" si="111"/>
        <v>NA</v>
      </c>
      <c r="T73" s="154" t="str">
        <f t="shared" si="112"/>
        <v>NA</v>
      </c>
      <c r="U73" s="154" t="str">
        <f t="shared" si="113"/>
        <v>NA</v>
      </c>
      <c r="W73" s="123">
        <v>109</v>
      </c>
      <c r="X73" s="103" t="s">
        <v>253</v>
      </c>
      <c r="Y73" s="141">
        <f t="shared" si="114"/>
        <v>0</v>
      </c>
      <c r="Z73" s="152" t="str">
        <f t="shared" si="115"/>
        <v>NA</v>
      </c>
      <c r="AA73" s="152" t="str">
        <f t="shared" si="116"/>
        <v>NA</v>
      </c>
      <c r="AB73" s="152" t="str">
        <f t="shared" si="117"/>
        <v>NA</v>
      </c>
      <c r="AC73" s="152" t="str">
        <f t="shared" si="118"/>
        <v>NA</v>
      </c>
      <c r="AD73" s="152" t="str">
        <f t="shared" si="119"/>
        <v>NA</v>
      </c>
      <c r="AE73" s="141">
        <f t="shared" si="120"/>
        <v>0</v>
      </c>
      <c r="AF73" s="152" t="str">
        <f t="shared" si="121"/>
        <v>NA</v>
      </c>
      <c r="AG73" s="152" t="str">
        <f t="shared" si="122"/>
        <v>NA</v>
      </c>
      <c r="AH73" s="152" t="str">
        <f t="shared" si="123"/>
        <v>NA</v>
      </c>
      <c r="AI73" s="152" t="str">
        <f t="shared" si="124"/>
        <v>NA</v>
      </c>
      <c r="AJ73" s="152" t="str">
        <f t="shared" si="125"/>
        <v>NA</v>
      </c>
      <c r="AK73" s="154" t="str">
        <f t="shared" si="126"/>
        <v>NA</v>
      </c>
      <c r="AL73" s="154" t="str">
        <f t="shared" si="127"/>
        <v>NA</v>
      </c>
      <c r="AM73" s="154" t="str">
        <f t="shared" si="128"/>
        <v>NA</v>
      </c>
      <c r="AN73" s="154" t="str">
        <f t="shared" si="129"/>
        <v>NA</v>
      </c>
      <c r="AO73" s="154" t="str">
        <f t="shared" si="130"/>
        <v>NA</v>
      </c>
      <c r="AP73" s="154" t="str">
        <f t="shared" si="131"/>
        <v>NA</v>
      </c>
      <c r="AR73" s="123">
        <v>109</v>
      </c>
      <c r="AS73" s="103" t="s">
        <v>253</v>
      </c>
      <c r="AT73" s="141">
        <f t="shared" si="132"/>
        <v>0</v>
      </c>
      <c r="AU73" s="152" t="str">
        <f t="shared" si="133"/>
        <v>NA</v>
      </c>
      <c r="AV73" s="152" t="str">
        <f t="shared" si="134"/>
        <v>NA</v>
      </c>
      <c r="AW73" s="152" t="str">
        <f t="shared" si="135"/>
        <v>NA</v>
      </c>
      <c r="AX73" s="152" t="str">
        <f t="shared" si="136"/>
        <v>NA</v>
      </c>
      <c r="AY73" s="152" t="str">
        <f t="shared" si="137"/>
        <v>NA</v>
      </c>
      <c r="AZ73" s="141">
        <f t="shared" si="138"/>
        <v>0</v>
      </c>
      <c r="BA73" s="152" t="str">
        <f t="shared" si="139"/>
        <v>NA</v>
      </c>
      <c r="BB73" s="152" t="str">
        <f t="shared" si="140"/>
        <v>NA</v>
      </c>
      <c r="BC73" s="152" t="str">
        <f t="shared" si="141"/>
        <v>NA</v>
      </c>
      <c r="BD73" s="152" t="str">
        <f t="shared" si="142"/>
        <v>NA</v>
      </c>
      <c r="BE73" s="152" t="str">
        <f t="shared" si="143"/>
        <v>NA</v>
      </c>
      <c r="BF73" s="154" t="str">
        <f t="shared" si="144"/>
        <v>NA</v>
      </c>
      <c r="BG73" s="154" t="str">
        <f t="shared" si="145"/>
        <v>NA</v>
      </c>
      <c r="BH73" s="154" t="str">
        <f t="shared" si="146"/>
        <v>NA</v>
      </c>
      <c r="BI73" s="154" t="str">
        <f t="shared" si="147"/>
        <v>NA</v>
      </c>
      <c r="BJ73" s="154" t="str">
        <f t="shared" si="148"/>
        <v>NA</v>
      </c>
      <c r="BK73" s="154" t="str">
        <f t="shared" si="149"/>
        <v>NA</v>
      </c>
    </row>
    <row r="74" spans="2:63" x14ac:dyDescent="0.35">
      <c r="B74" s="123">
        <v>110</v>
      </c>
      <c r="C74" s="103" t="s">
        <v>294</v>
      </c>
      <c r="D74" s="141">
        <f t="shared" si="96"/>
        <v>0</v>
      </c>
      <c r="E74" s="152" t="str">
        <f t="shared" si="97"/>
        <v>NA</v>
      </c>
      <c r="F74" s="152" t="str">
        <f t="shared" si="98"/>
        <v>NA</v>
      </c>
      <c r="G74" s="152" t="str">
        <f t="shared" si="99"/>
        <v>NA</v>
      </c>
      <c r="H74" s="152" t="str">
        <f t="shared" si="100"/>
        <v>NA</v>
      </c>
      <c r="I74" s="152" t="str">
        <f t="shared" si="101"/>
        <v>NA</v>
      </c>
      <c r="J74" s="141">
        <f t="shared" si="102"/>
        <v>0</v>
      </c>
      <c r="K74" s="152" t="str">
        <f t="shared" si="103"/>
        <v>NA</v>
      </c>
      <c r="L74" s="152" t="str">
        <f t="shared" si="104"/>
        <v>NA</v>
      </c>
      <c r="M74" s="152" t="str">
        <f t="shared" si="105"/>
        <v>NA</v>
      </c>
      <c r="N74" s="152" t="str">
        <f t="shared" si="106"/>
        <v>NA</v>
      </c>
      <c r="O74" s="152" t="str">
        <f t="shared" si="107"/>
        <v>NA</v>
      </c>
      <c r="P74" s="154" t="str">
        <f t="shared" si="108"/>
        <v>NA</v>
      </c>
      <c r="Q74" s="154" t="str">
        <f t="shared" si="109"/>
        <v>NA</v>
      </c>
      <c r="R74" s="154" t="str">
        <f t="shared" si="110"/>
        <v>NA</v>
      </c>
      <c r="S74" s="154" t="str">
        <f t="shared" si="111"/>
        <v>NA</v>
      </c>
      <c r="T74" s="154" t="str">
        <f t="shared" si="112"/>
        <v>NA</v>
      </c>
      <c r="U74" s="154" t="str">
        <f t="shared" si="113"/>
        <v>NA</v>
      </c>
      <c r="W74" s="123">
        <v>110</v>
      </c>
      <c r="X74" s="103" t="s">
        <v>294</v>
      </c>
      <c r="Y74" s="141">
        <f t="shared" si="114"/>
        <v>0</v>
      </c>
      <c r="Z74" s="152" t="str">
        <f t="shared" si="115"/>
        <v>NA</v>
      </c>
      <c r="AA74" s="152" t="str">
        <f t="shared" si="116"/>
        <v>NA</v>
      </c>
      <c r="AB74" s="152" t="str">
        <f t="shared" si="117"/>
        <v>NA</v>
      </c>
      <c r="AC74" s="152" t="str">
        <f t="shared" si="118"/>
        <v>NA</v>
      </c>
      <c r="AD74" s="152" t="str">
        <f t="shared" si="119"/>
        <v>NA</v>
      </c>
      <c r="AE74" s="141">
        <f t="shared" si="120"/>
        <v>0</v>
      </c>
      <c r="AF74" s="152" t="str">
        <f t="shared" si="121"/>
        <v>NA</v>
      </c>
      <c r="AG74" s="152" t="str">
        <f t="shared" si="122"/>
        <v>NA</v>
      </c>
      <c r="AH74" s="152" t="str">
        <f t="shared" si="123"/>
        <v>NA</v>
      </c>
      <c r="AI74" s="152" t="str">
        <f t="shared" si="124"/>
        <v>NA</v>
      </c>
      <c r="AJ74" s="152" t="str">
        <f t="shared" si="125"/>
        <v>NA</v>
      </c>
      <c r="AK74" s="154" t="str">
        <f t="shared" si="126"/>
        <v>NA</v>
      </c>
      <c r="AL74" s="154" t="str">
        <f t="shared" si="127"/>
        <v>NA</v>
      </c>
      <c r="AM74" s="154" t="str">
        <f t="shared" si="128"/>
        <v>NA</v>
      </c>
      <c r="AN74" s="154" t="str">
        <f t="shared" si="129"/>
        <v>NA</v>
      </c>
      <c r="AO74" s="154" t="str">
        <f t="shared" si="130"/>
        <v>NA</v>
      </c>
      <c r="AP74" s="154" t="str">
        <f t="shared" si="131"/>
        <v>NA</v>
      </c>
      <c r="AR74" s="123">
        <v>110</v>
      </c>
      <c r="AS74" s="103" t="s">
        <v>294</v>
      </c>
      <c r="AT74" s="141">
        <f t="shared" si="132"/>
        <v>0</v>
      </c>
      <c r="AU74" s="152" t="str">
        <f t="shared" si="133"/>
        <v>NA</v>
      </c>
      <c r="AV74" s="152" t="str">
        <f t="shared" si="134"/>
        <v>NA</v>
      </c>
      <c r="AW74" s="152" t="str">
        <f t="shared" si="135"/>
        <v>NA</v>
      </c>
      <c r="AX74" s="152" t="str">
        <f t="shared" si="136"/>
        <v>NA</v>
      </c>
      <c r="AY74" s="152" t="str">
        <f t="shared" si="137"/>
        <v>NA</v>
      </c>
      <c r="AZ74" s="141">
        <f t="shared" si="138"/>
        <v>0</v>
      </c>
      <c r="BA74" s="152" t="str">
        <f t="shared" si="139"/>
        <v>NA</v>
      </c>
      <c r="BB74" s="152" t="str">
        <f t="shared" si="140"/>
        <v>NA</v>
      </c>
      <c r="BC74" s="152" t="str">
        <f t="shared" si="141"/>
        <v>NA</v>
      </c>
      <c r="BD74" s="152" t="str">
        <f t="shared" si="142"/>
        <v>NA</v>
      </c>
      <c r="BE74" s="152" t="str">
        <f t="shared" si="143"/>
        <v>NA</v>
      </c>
      <c r="BF74" s="154" t="str">
        <f t="shared" si="144"/>
        <v>NA</v>
      </c>
      <c r="BG74" s="154" t="str">
        <f t="shared" si="145"/>
        <v>NA</v>
      </c>
      <c r="BH74" s="154" t="str">
        <f t="shared" si="146"/>
        <v>NA</v>
      </c>
      <c r="BI74" s="154" t="str">
        <f t="shared" si="147"/>
        <v>NA</v>
      </c>
      <c r="BJ74" s="154" t="str">
        <f t="shared" si="148"/>
        <v>NA</v>
      </c>
      <c r="BK74" s="154" t="str">
        <f t="shared" si="149"/>
        <v>NA</v>
      </c>
    </row>
    <row r="75" spans="2:63" x14ac:dyDescent="0.35">
      <c r="B75" s="123">
        <v>111</v>
      </c>
      <c r="C75" s="103" t="s">
        <v>254</v>
      </c>
      <c r="D75" s="141">
        <f t="shared" si="96"/>
        <v>0</v>
      </c>
      <c r="E75" s="152" t="str">
        <f t="shared" si="97"/>
        <v>NA</v>
      </c>
      <c r="F75" s="152" t="str">
        <f t="shared" si="98"/>
        <v>NA</v>
      </c>
      <c r="G75" s="152" t="str">
        <f t="shared" si="99"/>
        <v>NA</v>
      </c>
      <c r="H75" s="152" t="str">
        <f t="shared" si="100"/>
        <v>NA</v>
      </c>
      <c r="I75" s="152" t="str">
        <f t="shared" si="101"/>
        <v>NA</v>
      </c>
      <c r="J75" s="141">
        <f t="shared" si="102"/>
        <v>0</v>
      </c>
      <c r="K75" s="152" t="str">
        <f t="shared" si="103"/>
        <v>NA</v>
      </c>
      <c r="L75" s="152" t="str">
        <f t="shared" si="104"/>
        <v>NA</v>
      </c>
      <c r="M75" s="152" t="str">
        <f t="shared" si="105"/>
        <v>NA</v>
      </c>
      <c r="N75" s="152" t="str">
        <f t="shared" si="106"/>
        <v>NA</v>
      </c>
      <c r="O75" s="152" t="str">
        <f t="shared" si="107"/>
        <v>NA</v>
      </c>
      <c r="P75" s="154" t="str">
        <f t="shared" si="108"/>
        <v>NA</v>
      </c>
      <c r="Q75" s="154" t="str">
        <f t="shared" si="109"/>
        <v>NA</v>
      </c>
      <c r="R75" s="154" t="str">
        <f t="shared" si="110"/>
        <v>NA</v>
      </c>
      <c r="S75" s="154" t="str">
        <f t="shared" si="111"/>
        <v>NA</v>
      </c>
      <c r="T75" s="154" t="str">
        <f t="shared" si="112"/>
        <v>NA</v>
      </c>
      <c r="U75" s="154" t="str">
        <f t="shared" si="113"/>
        <v>NA</v>
      </c>
      <c r="W75" s="123">
        <v>111</v>
      </c>
      <c r="X75" s="103" t="s">
        <v>254</v>
      </c>
      <c r="Y75" s="141">
        <f t="shared" si="114"/>
        <v>0</v>
      </c>
      <c r="Z75" s="152" t="str">
        <f t="shared" si="115"/>
        <v>NA</v>
      </c>
      <c r="AA75" s="152" t="str">
        <f t="shared" si="116"/>
        <v>NA</v>
      </c>
      <c r="AB75" s="152" t="str">
        <f t="shared" si="117"/>
        <v>NA</v>
      </c>
      <c r="AC75" s="152" t="str">
        <f t="shared" si="118"/>
        <v>NA</v>
      </c>
      <c r="AD75" s="152" t="str">
        <f t="shared" si="119"/>
        <v>NA</v>
      </c>
      <c r="AE75" s="141">
        <f t="shared" si="120"/>
        <v>0</v>
      </c>
      <c r="AF75" s="152" t="str">
        <f t="shared" si="121"/>
        <v>NA</v>
      </c>
      <c r="AG75" s="152" t="str">
        <f t="shared" si="122"/>
        <v>NA</v>
      </c>
      <c r="AH75" s="152" t="str">
        <f t="shared" si="123"/>
        <v>NA</v>
      </c>
      <c r="AI75" s="152" t="str">
        <f t="shared" si="124"/>
        <v>NA</v>
      </c>
      <c r="AJ75" s="152" t="str">
        <f t="shared" si="125"/>
        <v>NA</v>
      </c>
      <c r="AK75" s="154" t="str">
        <f t="shared" si="126"/>
        <v>NA</v>
      </c>
      <c r="AL75" s="154" t="str">
        <f t="shared" si="127"/>
        <v>NA</v>
      </c>
      <c r="AM75" s="154" t="str">
        <f t="shared" si="128"/>
        <v>NA</v>
      </c>
      <c r="AN75" s="154" t="str">
        <f t="shared" si="129"/>
        <v>NA</v>
      </c>
      <c r="AO75" s="154" t="str">
        <f t="shared" si="130"/>
        <v>NA</v>
      </c>
      <c r="AP75" s="154" t="str">
        <f t="shared" si="131"/>
        <v>NA</v>
      </c>
      <c r="AR75" s="123">
        <v>111</v>
      </c>
      <c r="AS75" s="103" t="s">
        <v>254</v>
      </c>
      <c r="AT75" s="141">
        <f t="shared" si="132"/>
        <v>0</v>
      </c>
      <c r="AU75" s="152" t="str">
        <f t="shared" si="133"/>
        <v>NA</v>
      </c>
      <c r="AV75" s="152" t="str">
        <f t="shared" si="134"/>
        <v>NA</v>
      </c>
      <c r="AW75" s="152" t="str">
        <f t="shared" si="135"/>
        <v>NA</v>
      </c>
      <c r="AX75" s="152" t="str">
        <f t="shared" si="136"/>
        <v>NA</v>
      </c>
      <c r="AY75" s="152" t="str">
        <f t="shared" si="137"/>
        <v>NA</v>
      </c>
      <c r="AZ75" s="141">
        <f t="shared" si="138"/>
        <v>0</v>
      </c>
      <c r="BA75" s="152" t="str">
        <f t="shared" si="139"/>
        <v>NA</v>
      </c>
      <c r="BB75" s="152" t="str">
        <f t="shared" si="140"/>
        <v>NA</v>
      </c>
      <c r="BC75" s="152" t="str">
        <f t="shared" si="141"/>
        <v>NA</v>
      </c>
      <c r="BD75" s="152" t="str">
        <f t="shared" si="142"/>
        <v>NA</v>
      </c>
      <c r="BE75" s="152" t="str">
        <f t="shared" si="143"/>
        <v>NA</v>
      </c>
      <c r="BF75" s="154" t="str">
        <f t="shared" si="144"/>
        <v>NA</v>
      </c>
      <c r="BG75" s="154" t="str">
        <f t="shared" si="145"/>
        <v>NA</v>
      </c>
      <c r="BH75" s="154" t="str">
        <f t="shared" si="146"/>
        <v>NA</v>
      </c>
      <c r="BI75" s="154" t="str">
        <f t="shared" si="147"/>
        <v>NA</v>
      </c>
      <c r="BJ75" s="154" t="str">
        <f t="shared" si="148"/>
        <v>NA</v>
      </c>
      <c r="BK75" s="154" t="str">
        <f t="shared" si="149"/>
        <v>NA</v>
      </c>
    </row>
    <row r="76" spans="2:63" x14ac:dyDescent="0.35">
      <c r="B76" s="123">
        <v>999</v>
      </c>
      <c r="C76" s="103" t="s">
        <v>42</v>
      </c>
      <c r="D76" s="141">
        <f t="shared" si="96"/>
        <v>0</v>
      </c>
      <c r="E76" s="152" t="str">
        <f t="shared" si="97"/>
        <v>NA</v>
      </c>
      <c r="F76" s="152" t="str">
        <f t="shared" si="98"/>
        <v>NA</v>
      </c>
      <c r="G76" s="152" t="str">
        <f t="shared" si="99"/>
        <v>NA</v>
      </c>
      <c r="H76" s="152" t="str">
        <f t="shared" si="100"/>
        <v>NA</v>
      </c>
      <c r="I76" s="152" t="str">
        <f t="shared" si="101"/>
        <v>NA</v>
      </c>
      <c r="J76" s="141">
        <f t="shared" si="102"/>
        <v>0</v>
      </c>
      <c r="K76" s="152" t="str">
        <f t="shared" si="103"/>
        <v>NA</v>
      </c>
      <c r="L76" s="152" t="str">
        <f t="shared" si="104"/>
        <v>NA</v>
      </c>
      <c r="M76" s="152" t="str">
        <f t="shared" si="105"/>
        <v>NA</v>
      </c>
      <c r="N76" s="152" t="str">
        <f t="shared" si="106"/>
        <v>NA</v>
      </c>
      <c r="O76" s="152" t="str">
        <f t="shared" si="107"/>
        <v>NA</v>
      </c>
      <c r="P76" s="154" t="str">
        <f t="shared" si="108"/>
        <v>NA</v>
      </c>
      <c r="Q76" s="154" t="str">
        <f t="shared" si="109"/>
        <v>NA</v>
      </c>
      <c r="R76" s="154" t="str">
        <f t="shared" si="110"/>
        <v>NA</v>
      </c>
      <c r="S76" s="154" t="str">
        <f t="shared" si="111"/>
        <v>NA</v>
      </c>
      <c r="T76" s="154" t="str">
        <f t="shared" si="112"/>
        <v>NA</v>
      </c>
      <c r="U76" s="154" t="str">
        <f t="shared" si="113"/>
        <v>NA</v>
      </c>
      <c r="W76" s="123">
        <v>999</v>
      </c>
      <c r="X76" s="103" t="s">
        <v>42</v>
      </c>
      <c r="Y76" s="141">
        <f t="shared" si="114"/>
        <v>0</v>
      </c>
      <c r="Z76" s="152" t="str">
        <f t="shared" si="115"/>
        <v>NA</v>
      </c>
      <c r="AA76" s="152" t="str">
        <f t="shared" si="116"/>
        <v>NA</v>
      </c>
      <c r="AB76" s="152" t="str">
        <f t="shared" si="117"/>
        <v>NA</v>
      </c>
      <c r="AC76" s="152" t="str">
        <f t="shared" si="118"/>
        <v>NA</v>
      </c>
      <c r="AD76" s="152" t="str">
        <f t="shared" si="119"/>
        <v>NA</v>
      </c>
      <c r="AE76" s="141">
        <f t="shared" si="120"/>
        <v>0</v>
      </c>
      <c r="AF76" s="152" t="str">
        <f t="shared" si="121"/>
        <v>NA</v>
      </c>
      <c r="AG76" s="152" t="str">
        <f t="shared" si="122"/>
        <v>NA</v>
      </c>
      <c r="AH76" s="152" t="str">
        <f t="shared" si="123"/>
        <v>NA</v>
      </c>
      <c r="AI76" s="152" t="str">
        <f t="shared" si="124"/>
        <v>NA</v>
      </c>
      <c r="AJ76" s="152" t="str">
        <f t="shared" si="125"/>
        <v>NA</v>
      </c>
      <c r="AK76" s="154" t="str">
        <f t="shared" si="126"/>
        <v>NA</v>
      </c>
      <c r="AL76" s="154" t="str">
        <f t="shared" si="127"/>
        <v>NA</v>
      </c>
      <c r="AM76" s="154" t="str">
        <f t="shared" si="128"/>
        <v>NA</v>
      </c>
      <c r="AN76" s="154" t="str">
        <f t="shared" si="129"/>
        <v>NA</v>
      </c>
      <c r="AO76" s="154" t="str">
        <f t="shared" si="130"/>
        <v>NA</v>
      </c>
      <c r="AP76" s="154" t="str">
        <f t="shared" si="131"/>
        <v>NA</v>
      </c>
      <c r="AR76" s="123">
        <v>999</v>
      </c>
      <c r="AS76" s="103" t="s">
        <v>42</v>
      </c>
      <c r="AT76" s="141">
        <f t="shared" si="132"/>
        <v>0</v>
      </c>
      <c r="AU76" s="152" t="str">
        <f t="shared" si="133"/>
        <v>NA</v>
      </c>
      <c r="AV76" s="152" t="str">
        <f t="shared" si="134"/>
        <v>NA</v>
      </c>
      <c r="AW76" s="152" t="str">
        <f t="shared" si="135"/>
        <v>NA</v>
      </c>
      <c r="AX76" s="152" t="str">
        <f t="shared" si="136"/>
        <v>NA</v>
      </c>
      <c r="AY76" s="152" t="str">
        <f t="shared" si="137"/>
        <v>NA</v>
      </c>
      <c r="AZ76" s="141">
        <f t="shared" si="138"/>
        <v>0</v>
      </c>
      <c r="BA76" s="152" t="str">
        <f t="shared" si="139"/>
        <v>NA</v>
      </c>
      <c r="BB76" s="152" t="str">
        <f t="shared" si="140"/>
        <v>NA</v>
      </c>
      <c r="BC76" s="152" t="str">
        <f t="shared" si="141"/>
        <v>NA</v>
      </c>
      <c r="BD76" s="152" t="str">
        <f t="shared" si="142"/>
        <v>NA</v>
      </c>
      <c r="BE76" s="152" t="str">
        <f t="shared" si="143"/>
        <v>NA</v>
      </c>
      <c r="BF76" s="154" t="str">
        <f t="shared" si="144"/>
        <v>NA</v>
      </c>
      <c r="BG76" s="154" t="str">
        <f t="shared" si="145"/>
        <v>NA</v>
      </c>
      <c r="BH76" s="154" t="str">
        <f t="shared" si="146"/>
        <v>NA</v>
      </c>
      <c r="BI76" s="154" t="str">
        <f t="shared" si="147"/>
        <v>NA</v>
      </c>
      <c r="BJ76" s="154" t="str">
        <f t="shared" si="148"/>
        <v>NA</v>
      </c>
      <c r="BK76" s="154" t="str">
        <f t="shared" si="149"/>
        <v>NA</v>
      </c>
    </row>
    <row r="77" spans="2:63" x14ac:dyDescent="0.35">
      <c r="B77" s="79"/>
      <c r="C77" s="79" t="s">
        <v>245</v>
      </c>
      <c r="D77" s="151">
        <f>SUM(D65:D76)</f>
        <v>0</v>
      </c>
      <c r="E77" s="153" t="str">
        <f t="shared" si="97"/>
        <v>NA</v>
      </c>
      <c r="F77" s="153" t="str">
        <f t="shared" si="98"/>
        <v>NA</v>
      </c>
      <c r="G77" s="153" t="str">
        <f t="shared" si="99"/>
        <v>NA</v>
      </c>
      <c r="H77" s="153" t="str">
        <f t="shared" si="100"/>
        <v>NA</v>
      </c>
      <c r="I77" s="153" t="str">
        <f>IF(D77=0,"NA",(SUMPRODUCT(I96,D96)+SUMPRODUCT(I115,D115))/D77)</f>
        <v>NA</v>
      </c>
      <c r="J77" s="151">
        <f>SUM(J65:J76)</f>
        <v>0</v>
      </c>
      <c r="K77" s="153" t="str">
        <f t="shared" si="103"/>
        <v>NA</v>
      </c>
      <c r="L77" s="153" t="str">
        <f t="shared" si="104"/>
        <v>NA</v>
      </c>
      <c r="M77" s="153" t="str">
        <f t="shared" si="105"/>
        <v>NA</v>
      </c>
      <c r="N77" s="153" t="str">
        <f t="shared" si="106"/>
        <v>NA</v>
      </c>
      <c r="O77" s="153" t="str">
        <f>IF(J77=0,"NA",(SUMPRODUCT(O96,J96)+SUMPRODUCT(O115,J115))/J77)</f>
        <v>NA</v>
      </c>
      <c r="P77" s="155" t="str">
        <f t="shared" si="108"/>
        <v>NA</v>
      </c>
      <c r="Q77" s="155" t="str">
        <f t="shared" si="109"/>
        <v>NA</v>
      </c>
      <c r="R77" s="155" t="str">
        <f t="shared" si="110"/>
        <v>NA</v>
      </c>
      <c r="S77" s="155" t="str">
        <f t="shared" si="111"/>
        <v>NA</v>
      </c>
      <c r="T77" s="155" t="str">
        <f t="shared" si="112"/>
        <v>NA</v>
      </c>
      <c r="U77" s="155" t="str">
        <f t="shared" si="113"/>
        <v>NA</v>
      </c>
      <c r="W77" s="79"/>
      <c r="X77" s="79" t="s">
        <v>245</v>
      </c>
      <c r="Y77" s="151">
        <f>SUM(Y65:Y76)</f>
        <v>0</v>
      </c>
      <c r="Z77" s="153" t="str">
        <f t="shared" si="115"/>
        <v>NA</v>
      </c>
      <c r="AA77" s="153" t="str">
        <f t="shared" si="116"/>
        <v>NA</v>
      </c>
      <c r="AB77" s="153" t="str">
        <f t="shared" si="117"/>
        <v>NA</v>
      </c>
      <c r="AC77" s="153" t="str">
        <f t="shared" si="118"/>
        <v>NA</v>
      </c>
      <c r="AD77" s="153" t="str">
        <f>IF(Y77=0,"NA",(SUMPRODUCT(AD96,Y96)+SUMPRODUCT(AD115,Y115))/Y77)</f>
        <v>NA</v>
      </c>
      <c r="AE77" s="151">
        <f>SUM(AE65:AE76)</f>
        <v>0</v>
      </c>
      <c r="AF77" s="153" t="str">
        <f t="shared" si="121"/>
        <v>NA</v>
      </c>
      <c r="AG77" s="153" t="str">
        <f t="shared" si="122"/>
        <v>NA</v>
      </c>
      <c r="AH77" s="153" t="str">
        <f t="shared" si="123"/>
        <v>NA</v>
      </c>
      <c r="AI77" s="153" t="str">
        <f t="shared" si="124"/>
        <v>NA</v>
      </c>
      <c r="AJ77" s="153" t="str">
        <f>IF(AE77=0,"NA",(SUMPRODUCT(AJ96,AE96)+SUMPRODUCT(AJ115,AE115))/AE77)</f>
        <v>NA</v>
      </c>
      <c r="AK77" s="155" t="str">
        <f t="shared" si="126"/>
        <v>NA</v>
      </c>
      <c r="AL77" s="155" t="str">
        <f t="shared" si="127"/>
        <v>NA</v>
      </c>
      <c r="AM77" s="155" t="str">
        <f t="shared" si="128"/>
        <v>NA</v>
      </c>
      <c r="AN77" s="155" t="str">
        <f t="shared" si="129"/>
        <v>NA</v>
      </c>
      <c r="AO77" s="155" t="str">
        <f t="shared" si="130"/>
        <v>NA</v>
      </c>
      <c r="AP77" s="155" t="str">
        <f t="shared" si="131"/>
        <v>NA</v>
      </c>
      <c r="AR77" s="79"/>
      <c r="AS77" s="79" t="s">
        <v>245</v>
      </c>
      <c r="AT77" s="151">
        <f>SUM(AT65:AT76)</f>
        <v>0</v>
      </c>
      <c r="AU77" s="153" t="str">
        <f t="shared" si="133"/>
        <v>NA</v>
      </c>
      <c r="AV77" s="153" t="str">
        <f t="shared" si="134"/>
        <v>NA</v>
      </c>
      <c r="AW77" s="153" t="str">
        <f t="shared" si="135"/>
        <v>NA</v>
      </c>
      <c r="AX77" s="153" t="str">
        <f t="shared" si="136"/>
        <v>NA</v>
      </c>
      <c r="AY77" s="153" t="str">
        <f>IF(AT77=0,"NA",(SUMPRODUCT(AY96,AT96)+SUMPRODUCT(AY115,AT115))/AT77)</f>
        <v>NA</v>
      </c>
      <c r="AZ77" s="151">
        <f>SUM(AZ65:AZ76)</f>
        <v>0</v>
      </c>
      <c r="BA77" s="153" t="str">
        <f t="shared" si="139"/>
        <v>NA</v>
      </c>
      <c r="BB77" s="153" t="str">
        <f t="shared" si="140"/>
        <v>NA</v>
      </c>
      <c r="BC77" s="153" t="str">
        <f t="shared" si="141"/>
        <v>NA</v>
      </c>
      <c r="BD77" s="153" t="str">
        <f t="shared" si="142"/>
        <v>NA</v>
      </c>
      <c r="BE77" s="153" t="str">
        <f>IF(AZ77=0,"NA",(SUMPRODUCT(BE96,AZ96)+SUMPRODUCT(BE115,AZ115))/AZ77)</f>
        <v>NA</v>
      </c>
      <c r="BF77" s="155" t="str">
        <f t="shared" si="144"/>
        <v>NA</v>
      </c>
      <c r="BG77" s="155" t="str">
        <f t="shared" si="145"/>
        <v>NA</v>
      </c>
      <c r="BH77" s="155" t="str">
        <f t="shared" si="146"/>
        <v>NA</v>
      </c>
      <c r="BI77" s="155" t="str">
        <f t="shared" si="147"/>
        <v>NA</v>
      </c>
      <c r="BJ77" s="155" t="str">
        <f t="shared" si="148"/>
        <v>NA</v>
      </c>
      <c r="BK77" s="155" t="str">
        <f t="shared" si="149"/>
        <v>NA</v>
      </c>
    </row>
    <row r="78" spans="2:63" x14ac:dyDescent="0.35">
      <c r="B78" s="79"/>
      <c r="C78" s="79" t="s">
        <v>246</v>
      </c>
      <c r="D78" s="151">
        <f>D77</f>
        <v>0</v>
      </c>
      <c r="E78" s="153" t="str">
        <f t="shared" si="97"/>
        <v>NA</v>
      </c>
      <c r="F78" s="153" t="str">
        <f t="shared" si="98"/>
        <v>NA</v>
      </c>
      <c r="G78" s="153" t="str">
        <f t="shared" si="99"/>
        <v>NA</v>
      </c>
      <c r="H78" s="153" t="str">
        <f t="shared" si="100"/>
        <v>NA</v>
      </c>
      <c r="I78" s="153" t="str">
        <f>IF(D78=0,"NA",(SUMPRODUCT(I97,D97)+SUMPRODUCT(I116,D116))/D78)</f>
        <v>NA</v>
      </c>
      <c r="J78" s="151">
        <f>J77</f>
        <v>0</v>
      </c>
      <c r="K78" s="153" t="str">
        <f t="shared" si="103"/>
        <v>NA</v>
      </c>
      <c r="L78" s="153" t="str">
        <f t="shared" si="104"/>
        <v>NA</v>
      </c>
      <c r="M78" s="153" t="str">
        <f t="shared" si="105"/>
        <v>NA</v>
      </c>
      <c r="N78" s="153" t="str">
        <f t="shared" si="106"/>
        <v>NA</v>
      </c>
      <c r="O78" s="153" t="str">
        <f>IF(J78=0,"NA",(SUMPRODUCT(O97,J97)+SUMPRODUCT(O116,J116))/J78)</f>
        <v>NA</v>
      </c>
      <c r="P78" s="155" t="str">
        <f t="shared" si="108"/>
        <v>NA</v>
      </c>
      <c r="Q78" s="155" t="str">
        <f t="shared" si="109"/>
        <v>NA</v>
      </c>
      <c r="R78" s="155" t="str">
        <f t="shared" si="110"/>
        <v>NA</v>
      </c>
      <c r="S78" s="155" t="str">
        <f t="shared" si="111"/>
        <v>NA</v>
      </c>
      <c r="T78" s="155" t="str">
        <f t="shared" si="112"/>
        <v>NA</v>
      </c>
      <c r="U78" s="155" t="str">
        <f t="shared" si="113"/>
        <v>NA</v>
      </c>
      <c r="W78" s="79"/>
      <c r="X78" s="79" t="s">
        <v>246</v>
      </c>
      <c r="Y78" s="151">
        <f>Y77</f>
        <v>0</v>
      </c>
      <c r="Z78" s="153" t="str">
        <f t="shared" si="115"/>
        <v>NA</v>
      </c>
      <c r="AA78" s="153" t="str">
        <f t="shared" si="116"/>
        <v>NA</v>
      </c>
      <c r="AB78" s="153" t="str">
        <f t="shared" si="117"/>
        <v>NA</v>
      </c>
      <c r="AC78" s="153" t="str">
        <f t="shared" si="118"/>
        <v>NA</v>
      </c>
      <c r="AD78" s="153" t="str">
        <f>IF(Y78=0,"NA",(SUMPRODUCT(AD97,Y97)+SUMPRODUCT(AD116,Y116))/Y78)</f>
        <v>NA</v>
      </c>
      <c r="AE78" s="151">
        <f>AE77</f>
        <v>0</v>
      </c>
      <c r="AF78" s="153" t="str">
        <f t="shared" si="121"/>
        <v>NA</v>
      </c>
      <c r="AG78" s="153" t="str">
        <f t="shared" si="122"/>
        <v>NA</v>
      </c>
      <c r="AH78" s="153" t="str">
        <f t="shared" si="123"/>
        <v>NA</v>
      </c>
      <c r="AI78" s="153" t="str">
        <f t="shared" si="124"/>
        <v>NA</v>
      </c>
      <c r="AJ78" s="153" t="str">
        <f>IF(AE78=0,"NA",(SUMPRODUCT(AJ97,AE97)+SUMPRODUCT(AJ116,AE116))/AE78)</f>
        <v>NA</v>
      </c>
      <c r="AK78" s="155" t="str">
        <f t="shared" si="126"/>
        <v>NA</v>
      </c>
      <c r="AL78" s="155" t="str">
        <f t="shared" si="127"/>
        <v>NA</v>
      </c>
      <c r="AM78" s="155" t="str">
        <f t="shared" si="128"/>
        <v>NA</v>
      </c>
      <c r="AN78" s="155" t="str">
        <f t="shared" si="129"/>
        <v>NA</v>
      </c>
      <c r="AO78" s="155" t="str">
        <f t="shared" si="130"/>
        <v>NA</v>
      </c>
      <c r="AP78" s="155" t="str">
        <f t="shared" si="131"/>
        <v>NA</v>
      </c>
      <c r="AR78" s="79"/>
      <c r="AS78" s="79" t="s">
        <v>246</v>
      </c>
      <c r="AT78" s="151">
        <f>AT77</f>
        <v>0</v>
      </c>
      <c r="AU78" s="153" t="str">
        <f t="shared" si="133"/>
        <v>NA</v>
      </c>
      <c r="AV78" s="153" t="str">
        <f t="shared" si="134"/>
        <v>NA</v>
      </c>
      <c r="AW78" s="153" t="str">
        <f t="shared" si="135"/>
        <v>NA</v>
      </c>
      <c r="AX78" s="153" t="str">
        <f t="shared" si="136"/>
        <v>NA</v>
      </c>
      <c r="AY78" s="153" t="str">
        <f>IF(AT78=0,"NA",(SUMPRODUCT(AY97,AT97)+SUMPRODUCT(AY116,AT116))/AT78)</f>
        <v>NA</v>
      </c>
      <c r="AZ78" s="151">
        <f>AZ77</f>
        <v>0</v>
      </c>
      <c r="BA78" s="153" t="str">
        <f t="shared" si="139"/>
        <v>NA</v>
      </c>
      <c r="BB78" s="153" t="str">
        <f t="shared" si="140"/>
        <v>NA</v>
      </c>
      <c r="BC78" s="153" t="str">
        <f t="shared" si="141"/>
        <v>NA</v>
      </c>
      <c r="BD78" s="153" t="str">
        <f t="shared" si="142"/>
        <v>NA</v>
      </c>
      <c r="BE78" s="153" t="str">
        <f>IF(AZ78=0,"NA",(SUMPRODUCT(BE97,AZ97)+SUMPRODUCT(BE116,AZ116))/AZ78)</f>
        <v>NA</v>
      </c>
      <c r="BF78" s="155" t="str">
        <f t="shared" si="144"/>
        <v>NA</v>
      </c>
      <c r="BG78" s="155" t="str">
        <f t="shared" si="145"/>
        <v>NA</v>
      </c>
      <c r="BH78" s="155" t="str">
        <f t="shared" si="146"/>
        <v>NA</v>
      </c>
      <c r="BI78" s="155" t="str">
        <f t="shared" si="147"/>
        <v>NA</v>
      </c>
      <c r="BJ78" s="155" t="str">
        <f t="shared" si="148"/>
        <v>NA</v>
      </c>
      <c r="BK78" s="155" t="str">
        <f t="shared" si="149"/>
        <v>NA</v>
      </c>
    </row>
    <row r="80" spans="2:63" x14ac:dyDescent="0.35">
      <c r="B80" s="71" t="s">
        <v>344</v>
      </c>
      <c r="W80" s="71" t="s">
        <v>345</v>
      </c>
      <c r="AR80" s="71" t="s">
        <v>346</v>
      </c>
    </row>
    <row r="81" spans="2:63" x14ac:dyDescent="0.35">
      <c r="B81" s="70" t="s">
        <v>307</v>
      </c>
      <c r="W81" s="70" t="s">
        <v>307</v>
      </c>
      <c r="AR81" s="70" t="s">
        <v>307</v>
      </c>
    </row>
    <row r="82" spans="2:63" x14ac:dyDescent="0.35">
      <c r="B82" s="222" t="s">
        <v>300</v>
      </c>
      <c r="C82" s="222"/>
      <c r="D82" s="219">
        <v>2018</v>
      </c>
      <c r="E82" s="220"/>
      <c r="F82" s="220"/>
      <c r="G82" s="220"/>
      <c r="H82" s="220"/>
      <c r="I82" s="221"/>
      <c r="J82" s="219">
        <v>2019</v>
      </c>
      <c r="K82" s="220"/>
      <c r="L82" s="220"/>
      <c r="M82" s="220"/>
      <c r="N82" s="220"/>
      <c r="O82" s="221"/>
      <c r="P82" s="222" t="s">
        <v>287</v>
      </c>
      <c r="Q82" s="222"/>
      <c r="R82" s="222"/>
      <c r="S82" s="222"/>
      <c r="T82" s="222"/>
      <c r="U82" s="222"/>
      <c r="W82" s="222" t="s">
        <v>300</v>
      </c>
      <c r="X82" s="222"/>
      <c r="Y82" s="219">
        <v>2019</v>
      </c>
      <c r="Z82" s="220"/>
      <c r="AA82" s="220"/>
      <c r="AB82" s="220"/>
      <c r="AC82" s="220"/>
      <c r="AD82" s="221"/>
      <c r="AE82" s="219">
        <v>2020</v>
      </c>
      <c r="AF82" s="220"/>
      <c r="AG82" s="220"/>
      <c r="AH82" s="220"/>
      <c r="AI82" s="220"/>
      <c r="AJ82" s="221"/>
      <c r="AK82" s="222" t="s">
        <v>288</v>
      </c>
      <c r="AL82" s="222"/>
      <c r="AM82" s="222"/>
      <c r="AN82" s="222"/>
      <c r="AO82" s="222"/>
      <c r="AP82" s="222"/>
      <c r="AR82" s="222" t="s">
        <v>300</v>
      </c>
      <c r="AS82" s="222"/>
      <c r="AT82" s="219">
        <v>2020</v>
      </c>
      <c r="AU82" s="220"/>
      <c r="AV82" s="220"/>
      <c r="AW82" s="220"/>
      <c r="AX82" s="220"/>
      <c r="AY82" s="221"/>
      <c r="AZ82" s="219">
        <v>2021</v>
      </c>
      <c r="BA82" s="220"/>
      <c r="BB82" s="220"/>
      <c r="BC82" s="220"/>
      <c r="BD82" s="220"/>
      <c r="BE82" s="221"/>
      <c r="BF82" s="222" t="s">
        <v>289</v>
      </c>
      <c r="BG82" s="222"/>
      <c r="BH82" s="222"/>
      <c r="BI82" s="222"/>
      <c r="BJ82" s="222"/>
      <c r="BK82" s="222"/>
    </row>
    <row r="83" spans="2:63" ht="43.5" x14ac:dyDescent="0.35">
      <c r="B83" s="96" t="s">
        <v>241</v>
      </c>
      <c r="C83" s="96" t="s">
        <v>242</v>
      </c>
      <c r="D83" s="96" t="s">
        <v>90</v>
      </c>
      <c r="E83" s="96" t="s">
        <v>267</v>
      </c>
      <c r="F83" s="96" t="s">
        <v>268</v>
      </c>
      <c r="G83" s="96" t="s">
        <v>243</v>
      </c>
      <c r="H83" s="96" t="s">
        <v>269</v>
      </c>
      <c r="I83" s="96" t="s">
        <v>244</v>
      </c>
      <c r="J83" s="96" t="s">
        <v>90</v>
      </c>
      <c r="K83" s="96" t="s">
        <v>267</v>
      </c>
      <c r="L83" s="96" t="s">
        <v>268</v>
      </c>
      <c r="M83" s="96" t="s">
        <v>243</v>
      </c>
      <c r="N83" s="96" t="s">
        <v>269</v>
      </c>
      <c r="O83" s="96" t="s">
        <v>244</v>
      </c>
      <c r="P83" s="96" t="s">
        <v>90</v>
      </c>
      <c r="Q83" s="96" t="s">
        <v>267</v>
      </c>
      <c r="R83" s="96" t="s">
        <v>268</v>
      </c>
      <c r="S83" s="96" t="s">
        <v>243</v>
      </c>
      <c r="T83" s="96" t="s">
        <v>269</v>
      </c>
      <c r="U83" s="96" t="s">
        <v>244</v>
      </c>
      <c r="W83" s="96" t="s">
        <v>241</v>
      </c>
      <c r="X83" s="96" t="s">
        <v>242</v>
      </c>
      <c r="Y83" s="96" t="s">
        <v>90</v>
      </c>
      <c r="Z83" s="96" t="s">
        <v>267</v>
      </c>
      <c r="AA83" s="96" t="s">
        <v>268</v>
      </c>
      <c r="AB83" s="96" t="s">
        <v>243</v>
      </c>
      <c r="AC83" s="96" t="s">
        <v>269</v>
      </c>
      <c r="AD83" s="96" t="s">
        <v>244</v>
      </c>
      <c r="AE83" s="96" t="s">
        <v>90</v>
      </c>
      <c r="AF83" s="96" t="s">
        <v>267</v>
      </c>
      <c r="AG83" s="96" t="s">
        <v>268</v>
      </c>
      <c r="AH83" s="96" t="s">
        <v>243</v>
      </c>
      <c r="AI83" s="96" t="s">
        <v>269</v>
      </c>
      <c r="AJ83" s="96" t="s">
        <v>244</v>
      </c>
      <c r="AK83" s="96" t="s">
        <v>90</v>
      </c>
      <c r="AL83" s="96" t="s">
        <v>267</v>
      </c>
      <c r="AM83" s="96" t="s">
        <v>268</v>
      </c>
      <c r="AN83" s="96" t="s">
        <v>243</v>
      </c>
      <c r="AO83" s="96" t="s">
        <v>269</v>
      </c>
      <c r="AP83" s="96" t="s">
        <v>244</v>
      </c>
      <c r="AR83" s="96" t="s">
        <v>241</v>
      </c>
      <c r="AS83" s="96" t="s">
        <v>242</v>
      </c>
      <c r="AT83" s="96" t="s">
        <v>90</v>
      </c>
      <c r="AU83" s="96" t="s">
        <v>267</v>
      </c>
      <c r="AV83" s="96" t="s">
        <v>268</v>
      </c>
      <c r="AW83" s="96" t="s">
        <v>243</v>
      </c>
      <c r="AX83" s="96" t="s">
        <v>269</v>
      </c>
      <c r="AY83" s="96" t="s">
        <v>244</v>
      </c>
      <c r="AZ83" s="96" t="s">
        <v>90</v>
      </c>
      <c r="BA83" s="96" t="s">
        <v>267</v>
      </c>
      <c r="BB83" s="96" t="s">
        <v>268</v>
      </c>
      <c r="BC83" s="96" t="s">
        <v>243</v>
      </c>
      <c r="BD83" s="96" t="s">
        <v>269</v>
      </c>
      <c r="BE83" s="96" t="s">
        <v>244</v>
      </c>
      <c r="BF83" s="96" t="s">
        <v>90</v>
      </c>
      <c r="BG83" s="96" t="s">
        <v>267</v>
      </c>
      <c r="BH83" s="96" t="s">
        <v>268</v>
      </c>
      <c r="BI83" s="96" t="s">
        <v>243</v>
      </c>
      <c r="BJ83" s="96" t="s">
        <v>269</v>
      </c>
      <c r="BK83" s="96" t="s">
        <v>244</v>
      </c>
    </row>
    <row r="84" spans="2:63" x14ac:dyDescent="0.35">
      <c r="B84" s="123">
        <v>101</v>
      </c>
      <c r="C84" s="103" t="s">
        <v>247</v>
      </c>
      <c r="D84" s="141">
        <f>SUMIFS(TME[[#All],[Member Months]],TME[[#All],[Reporting Year]],2018,TME[[#All],[Insurance Category Code]],1,TME[[#All],[Large Provider Entity Code]],B84)</f>
        <v>0</v>
      </c>
      <c r="E84" s="152" t="str">
        <f>IFERROR(SUMIFS(TME[[#All],[Total Non-Truncated Claims Spending]],TME[[#All],[Reporting Year]],2018,TME[[#All],[Insurance Category Code]],1,TME[[#All],[Large Provider Entity Code]],B84)/D84,"NA")</f>
        <v>NA</v>
      </c>
      <c r="F84" s="152" t="str">
        <f>IFERROR(SUMIFS(TME[[#All],[Total Truncated Claims Spending]],TME[[#All],[Reporting Year]],2018,TME[[#All],[Insurance Category Code]],1,TME[[#All],[Large Provider Entity Code]],B84)/D84,"NA")</f>
        <v>NA</v>
      </c>
      <c r="G84" s="152" t="str">
        <f>IFERROR(SUMIFS(TME[[#All],[Total Non-Claims Spending]],TME[[#All],[Reporting Year]],2018,TME[[#All],[Insurance Category Code]],1,TME[[#All],[Large Provider Entity Code]],B84)/D84,"NA")</f>
        <v>NA</v>
      </c>
      <c r="H84" s="152" t="str">
        <f>IFERROR(SUMIFS(TME[[#All],[Total Non-Truncated Claims and Non-Claims Spending]],TME[[#All],[Reporting Year]],2018,TME[[#All],[Insurance Category Code]],1,TME[[#All],[Large Provider Entity Code]],B84)/D84,"NA")</f>
        <v>NA</v>
      </c>
      <c r="I84" s="152" t="str">
        <f>IFERROR(SUMIFS(TME[[#All],[Truncated Total Expenses (Total Truncated Claims Expenses + Non-Claims Expenses)]],TME[[#All],[Reporting Year]],2018,TME[[#All],[Insurance Category Code]],1,TME[[#All],[Large Provider Entity Code]],B84)/D84,"NA")</f>
        <v>NA</v>
      </c>
      <c r="J84" s="141">
        <f>SUMIFS(TME[[#All],[Member Months]],TME[[#All],[Reporting Year]],2019,TME[[#All],[Insurance Category Code]],1,TME[[#All],[Large Provider Entity Code]],B84)</f>
        <v>0</v>
      </c>
      <c r="K84" s="152" t="str">
        <f>IFERROR(SUMIFS(TME[[#All],[Total Non-Truncated Claims Spending]],TME[[#All],[Reporting Year]],2019,TME[[#All],[Insurance Category Code]],1,TME[[#All],[Large Provider Entity Code]],B84)/J84,"NA")</f>
        <v>NA</v>
      </c>
      <c r="L84" s="152" t="str">
        <f>IFERROR(SUMIFS(TME[[#All],[Total Truncated Claims Spending]],TME[[#All],[Reporting Year]],2019,TME[[#All],[Insurance Category Code]],1,TME[[#All],[Large Provider Entity Code]],B84)/J84,"NA")</f>
        <v>NA</v>
      </c>
      <c r="M84" s="152" t="str">
        <f>IFERROR(SUMIFS(TME[[#All],[Total Non-Claims Spending]],TME[[#All],[Reporting Year]],2019,TME[[#All],[Insurance Category Code]],1,TME[[#All],[Large Provider Entity Code]],B84)/J84,"NA")</f>
        <v>NA</v>
      </c>
      <c r="N84" s="152" t="str">
        <f>IFERROR(SUMIFS(TME[[#All],[Total Non-Truncated Claims and Non-Claims Spending]],TME[[#All],[Reporting Year]],2019,TME[[#All],[Insurance Category Code]],1,TME[[#All],[Large Provider Entity Code]],B84)/J84,"NA")</f>
        <v>NA</v>
      </c>
      <c r="O84" s="152" t="str">
        <f>IFERROR(SUMIFS(TME[[#All],[Truncated Total Expenses (Total Truncated Claims Expenses + Non-Claims Expenses)]],TME[[#All],[Reporting Year]],2019,TME[[#All],[Insurance Category Code]],1,TME[[#All],[Large Provider Entity Code]],B84)/J84,"NA")</f>
        <v>NA</v>
      </c>
      <c r="P84" s="154" t="str">
        <f t="shared" ref="P84:P97" si="150">IFERROR((J84/D84-1),"NA")</f>
        <v>NA</v>
      </c>
      <c r="Q84" s="154" t="str">
        <f t="shared" ref="Q84:Q97" si="151">IFERROR((K84/E84-1),"NA")</f>
        <v>NA</v>
      </c>
      <c r="R84" s="154" t="str">
        <f t="shared" ref="R84:R97" si="152">IFERROR((L84/F84-1),"NA")</f>
        <v>NA</v>
      </c>
      <c r="S84" s="154" t="str">
        <f t="shared" ref="S84:S97" si="153">IFERROR((M84/G84-1),"NA")</f>
        <v>NA</v>
      </c>
      <c r="T84" s="154" t="str">
        <f t="shared" ref="T84:T97" si="154">IFERROR((N84/H84-1),"NA")</f>
        <v>NA</v>
      </c>
      <c r="U84" s="154" t="str">
        <f t="shared" ref="U84:U97" si="155">IFERROR((O84/I84-1),"NA")</f>
        <v>NA</v>
      </c>
      <c r="W84" s="123">
        <v>101</v>
      </c>
      <c r="X84" s="103" t="s">
        <v>247</v>
      </c>
      <c r="Y84" s="141">
        <f>SUMIFS(TME[[#All],[Member Months]],TME[[#All],[Reporting Year]],2019,TME[[#All],[Insurance Category Code]],1,TME[[#All],[Large Provider Entity Code]],W84)</f>
        <v>0</v>
      </c>
      <c r="Z84" s="152" t="str">
        <f>IFERROR(SUMIFS(TME[[#All],[Total Non-Truncated Claims Spending]],TME[[#All],[Reporting Year]],2019,TME[[#All],[Insurance Category Code]],1,TME[[#All],[Large Provider Entity Code]],W84)/Y84,"NA")</f>
        <v>NA</v>
      </c>
      <c r="AA84" s="152" t="str">
        <f>IFERROR(SUMIFS(TME[[#All],[Total Truncated Claims Spending]],TME[[#All],[Reporting Year]],2019,TME[[#All],[Insurance Category Code]],1,TME[[#All],[Large Provider Entity Code]],W84)/Y84,"NA")</f>
        <v>NA</v>
      </c>
      <c r="AB84" s="152" t="str">
        <f>IFERROR(SUMIFS(TME[[#All],[Total Non-Claims Spending]],TME[[#All],[Reporting Year]],2019,TME[[#All],[Insurance Category Code]],1,TME[[#All],[Large Provider Entity Code]],W84)/Y84,"NA")</f>
        <v>NA</v>
      </c>
      <c r="AC84" s="152" t="str">
        <f>IFERROR(SUMIFS(TME[[#All],[Total Non-Truncated Claims and Non-Claims Spending]],TME[[#All],[Reporting Year]],2019,TME[[#All],[Insurance Category Code]],1,TME[[#All],[Large Provider Entity Code]],W84)/Y84,"NA")</f>
        <v>NA</v>
      </c>
      <c r="AD84" s="152" t="str">
        <f>IFERROR(SUMIFS(TME[[#All],[Truncated Total Expenses (Total Truncated Claims Expenses + Non-Claims Expenses)]],TME[[#All],[Reporting Year]],2019,TME[[#All],[Insurance Category Code]],1,TME[[#All],[Large Provider Entity Code]],W84)/Y84,"NA")</f>
        <v>NA</v>
      </c>
      <c r="AE84" s="141">
        <f>SUMIFS(TME[[#All],[Member Months]],TME[[#All],[Reporting Year]],2020,TME[[#All],[Insurance Category Code]],1,TME[[#All],[Large Provider Entity Code]],W84)</f>
        <v>0</v>
      </c>
      <c r="AF84" s="152" t="str">
        <f>IFERROR(SUMIFS(TME[[#All],[Total Non-Truncated Claims Spending]],TME[[#All],[Reporting Year]],2020,TME[[#All],[Insurance Category Code]],1,TME[[#All],[Large Provider Entity Code]],W84)/AE84,"NA")</f>
        <v>NA</v>
      </c>
      <c r="AG84" s="152" t="str">
        <f>IFERROR(SUMIFS(TME[[#All],[Total Truncated Claims Spending]],TME[[#All],[Reporting Year]],2020,TME[[#All],[Insurance Category Code]],1,TME[[#All],[Large Provider Entity Code]],W84)/AE84,"NA")</f>
        <v>NA</v>
      </c>
      <c r="AH84" s="152" t="str">
        <f>IFERROR(SUMIFS(TME[[#All],[Total Non-Claims Spending]],TME[[#All],[Reporting Year]],2020,TME[[#All],[Insurance Category Code]],1,TME[[#All],[Large Provider Entity Code]],W84)/AE84,"NA")</f>
        <v>NA</v>
      </c>
      <c r="AI84" s="152" t="str">
        <f>IFERROR(SUMIFS(TME[[#All],[Total Non-Truncated Claims and Non-Claims Spending]],TME[[#All],[Reporting Year]],2020,TME[[#All],[Insurance Category Code]],1,TME[[#All],[Large Provider Entity Code]],W84)/AE84,"NA")</f>
        <v>NA</v>
      </c>
      <c r="AJ84" s="152" t="str">
        <f>IFERROR(SUMIFS(TME[[#All],[Truncated Total Expenses (Total Truncated Claims Expenses + Non-Claims Expenses)]],TME[[#All],[Reporting Year]],2020,TME[[#All],[Insurance Category Code]],1,TME[[#All],[Large Provider Entity Code]],W84)/AE84,"NA")</f>
        <v>NA</v>
      </c>
      <c r="AK84" s="154" t="str">
        <f t="shared" ref="AK84:AK97" si="156">IFERROR((AE84/Y84-1),"NA")</f>
        <v>NA</v>
      </c>
      <c r="AL84" s="154" t="str">
        <f t="shared" ref="AL84:AL97" si="157">IFERROR((AF84/Z84-1),"NA")</f>
        <v>NA</v>
      </c>
      <c r="AM84" s="154" t="str">
        <f t="shared" ref="AM84:AM97" si="158">IFERROR((AG84/AA84-1),"NA")</f>
        <v>NA</v>
      </c>
      <c r="AN84" s="154" t="str">
        <f t="shared" ref="AN84:AN97" si="159">IFERROR((AH84/AB84-1),"NA")</f>
        <v>NA</v>
      </c>
      <c r="AO84" s="154" t="str">
        <f t="shared" ref="AO84:AO97" si="160">IFERROR((AI84/AC84-1),"NA")</f>
        <v>NA</v>
      </c>
      <c r="AP84" s="154" t="str">
        <f t="shared" ref="AP84:AP97" si="161">IFERROR((AJ84/AD84-1),"NA")</f>
        <v>NA</v>
      </c>
      <c r="AR84" s="123">
        <v>101</v>
      </c>
      <c r="AS84" s="103" t="s">
        <v>247</v>
      </c>
      <c r="AT84" s="141">
        <f>SUMIFS(TME[[#All],[Member Months]],TME[[#All],[Reporting Year]],2020,TME[[#All],[Insurance Category Code]],1,TME[[#All],[Large Provider Entity Code]],AR84)</f>
        <v>0</v>
      </c>
      <c r="AU84" s="152" t="str">
        <f>IFERROR(SUMIFS(TME[[#All],[Total Non-Truncated Claims Spending]],TME[[#All],[Reporting Year]],2020,TME[[#All],[Insurance Category Code]],1,TME[[#All],[Large Provider Entity Code]],AR84)/AT84,"NA")</f>
        <v>NA</v>
      </c>
      <c r="AV84" s="152" t="str">
        <f>IFERROR(SUMIFS(TME[[#All],[Total Truncated Claims Spending]],TME[[#All],[Reporting Year]],2020,TME[[#All],[Insurance Category Code]],1,TME[[#All],[Large Provider Entity Code]],AR84)/AT84,"NA")</f>
        <v>NA</v>
      </c>
      <c r="AW84" s="152" t="str">
        <f>IFERROR(SUMIFS(TME[[#All],[Total Non-Claims Spending]],TME[[#All],[Reporting Year]],2020,TME[[#All],[Insurance Category Code]],1,TME[[#All],[Large Provider Entity Code]],AR84)/AT84,"NA")</f>
        <v>NA</v>
      </c>
      <c r="AX84" s="152" t="str">
        <f>IFERROR(SUMIFS(TME[[#All],[Total Non-Truncated Claims and Non-Claims Spending]],TME[[#All],[Reporting Year]],2020,TME[[#All],[Insurance Category Code]],1,TME[[#All],[Large Provider Entity Code]],AR84)/AT84,"NA")</f>
        <v>NA</v>
      </c>
      <c r="AY84" s="152" t="str">
        <f>IFERROR(SUMIFS(TME[[#All],[Truncated Total Expenses (Total Truncated Claims Expenses + Non-Claims Expenses)]],TME[[#All],[Reporting Year]],2020,TME[[#All],[Insurance Category Code]],1,TME[[#All],[Large Provider Entity Code]],AR84)/AT84,"NA")</f>
        <v>NA</v>
      </c>
      <c r="AZ84" s="141">
        <f>SUMIFS(TME[[#All],[Member Months]],TME[[#All],[Reporting Year]],2021,TME[[#All],[Insurance Category Code]],1,TME[[#All],[Large Provider Entity Code]],AR84)</f>
        <v>0</v>
      </c>
      <c r="BA84" s="152" t="str">
        <f>IFERROR(SUMIFS(TME[[#All],[Total Non-Truncated Claims Spending]],TME[[#All],[Reporting Year]],2021,TME[[#All],[Insurance Category Code]],1,TME[[#All],[Large Provider Entity Code]],AR84)/AZ84,"NA")</f>
        <v>NA</v>
      </c>
      <c r="BB84" s="152" t="str">
        <f>IFERROR(SUMIFS(TME[[#All],[Total Truncated Claims Spending]],TME[[#All],[Reporting Year]],2021,TME[[#All],[Insurance Category Code]],1,TME[[#All],[Large Provider Entity Code]],AR84)/AZ84,"NA")</f>
        <v>NA</v>
      </c>
      <c r="BC84" s="152" t="str">
        <f>IFERROR(SUMIFS(TME[[#All],[Total Non-Claims Spending]],TME[[#All],[Reporting Year]],2021,TME[[#All],[Insurance Category Code]],1,TME[[#All],[Large Provider Entity Code]],AR84)/AZ84,"NA")</f>
        <v>NA</v>
      </c>
      <c r="BD84" s="152" t="str">
        <f>IFERROR(SUMIFS(TME[[#All],[Total Non-Truncated Claims and Non-Claims Spending]],TME[[#All],[Reporting Year]],2021,TME[[#All],[Insurance Category Code]],1,TME[[#All],[Large Provider Entity Code]],AR84)/AZ84,"NA")</f>
        <v>NA</v>
      </c>
      <c r="BE84" s="152" t="str">
        <f>IFERROR(SUMIFS(TME[[#All],[Truncated Total Expenses (Total Truncated Claims Expenses + Non-Claims Expenses)]],TME[[#All],[Reporting Year]],2021,TME[[#All],[Insurance Category Code]],1,TME[[#All],[Large Provider Entity Code]],AR84)/AZ84,"NA")</f>
        <v>NA</v>
      </c>
      <c r="BF84" s="154" t="str">
        <f t="shared" ref="BF84:BF97" si="162">IFERROR((AZ84/AT84-1),"NA")</f>
        <v>NA</v>
      </c>
      <c r="BG84" s="154" t="str">
        <f t="shared" ref="BG84:BG97" si="163">IFERROR((BA84/AU84-1),"NA")</f>
        <v>NA</v>
      </c>
      <c r="BH84" s="154" t="str">
        <f t="shared" ref="BH84:BH97" si="164">IFERROR((BB84/AV84-1),"NA")</f>
        <v>NA</v>
      </c>
      <c r="BI84" s="154" t="str">
        <f t="shared" ref="BI84:BI97" si="165">IFERROR((BC84/AW84-1),"NA")</f>
        <v>NA</v>
      </c>
      <c r="BJ84" s="154" t="str">
        <f t="shared" ref="BJ84:BJ97" si="166">IFERROR((BD84/AX84-1),"NA")</f>
        <v>NA</v>
      </c>
      <c r="BK84" s="154" t="str">
        <f t="shared" ref="BK84:BK97" si="167">IFERROR((BE84/AY84-1),"NA")</f>
        <v>NA</v>
      </c>
    </row>
    <row r="85" spans="2:63" x14ac:dyDescent="0.35">
      <c r="B85" s="123">
        <v>102</v>
      </c>
      <c r="C85" s="103" t="s">
        <v>292</v>
      </c>
      <c r="D85" s="141">
        <f>SUMIFS(TME[[#All],[Member Months]],TME[[#All],[Reporting Year]],2018,TME[[#All],[Insurance Category Code]],1,TME[[#All],[Large Provider Entity Code]],B85)</f>
        <v>0</v>
      </c>
      <c r="E85" s="152" t="str">
        <f>IFERROR(SUMIFS(TME[[#All],[Total Non-Truncated Claims Spending]],TME[[#All],[Reporting Year]],2018,TME[[#All],[Insurance Category Code]],1,TME[[#All],[Large Provider Entity Code]],B85)/D85,"NA")</f>
        <v>NA</v>
      </c>
      <c r="F85" s="152" t="str">
        <f>IFERROR(SUMIFS(TME[[#All],[Total Truncated Claims Spending]],TME[[#All],[Reporting Year]],2018,TME[[#All],[Insurance Category Code]],1,TME[[#All],[Large Provider Entity Code]],B85)/D85,"NA")</f>
        <v>NA</v>
      </c>
      <c r="G85" s="152" t="str">
        <f>IFERROR(SUMIFS(TME[[#All],[Total Non-Claims Spending]],TME[[#All],[Reporting Year]],2018,TME[[#All],[Insurance Category Code]],1,TME[[#All],[Large Provider Entity Code]],B85)/D85,"NA")</f>
        <v>NA</v>
      </c>
      <c r="H85" s="152" t="str">
        <f>IFERROR(SUMIFS(TME[[#All],[Total Non-Truncated Claims and Non-Claims Spending]],TME[[#All],[Reporting Year]],2018,TME[[#All],[Insurance Category Code]],1,TME[[#All],[Large Provider Entity Code]],B85)/D85,"NA")</f>
        <v>NA</v>
      </c>
      <c r="I85" s="152" t="str">
        <f>IFERROR(SUMIFS(TME[[#All],[Truncated Total Expenses (Total Truncated Claims Expenses + Non-Claims Expenses)]],TME[[#All],[Reporting Year]],2018,TME[[#All],[Insurance Category Code]],1,TME[[#All],[Large Provider Entity Code]],B85)/D85,"NA")</f>
        <v>NA</v>
      </c>
      <c r="J85" s="141">
        <f>SUMIFS(TME[[#All],[Member Months]],TME[[#All],[Reporting Year]],2019,TME[[#All],[Insurance Category Code]],1,TME[[#All],[Large Provider Entity Code]],B85)</f>
        <v>0</v>
      </c>
      <c r="K85" s="152" t="str">
        <f>IFERROR(SUMIFS(TME[[#All],[Total Non-Truncated Claims Spending]],TME[[#All],[Reporting Year]],2019,TME[[#All],[Insurance Category Code]],1,TME[[#All],[Large Provider Entity Code]],B85)/J85,"NA")</f>
        <v>NA</v>
      </c>
      <c r="L85" s="152" t="str">
        <f>IFERROR(SUMIFS(TME[[#All],[Total Truncated Claims Spending]],TME[[#All],[Reporting Year]],2019,TME[[#All],[Insurance Category Code]],1,TME[[#All],[Large Provider Entity Code]],B85)/J85,"NA")</f>
        <v>NA</v>
      </c>
      <c r="M85" s="152" t="str">
        <f>IFERROR(SUMIFS(TME[[#All],[Total Non-Claims Spending]],TME[[#All],[Reporting Year]],2019,TME[[#All],[Insurance Category Code]],1,TME[[#All],[Large Provider Entity Code]],B85)/J85,"NA")</f>
        <v>NA</v>
      </c>
      <c r="N85" s="152" t="str">
        <f>IFERROR(SUMIFS(TME[[#All],[Total Non-Truncated Claims and Non-Claims Spending]],TME[[#All],[Reporting Year]],2019,TME[[#All],[Insurance Category Code]],1,TME[[#All],[Large Provider Entity Code]],B85)/J85,"NA")</f>
        <v>NA</v>
      </c>
      <c r="O85" s="152" t="str">
        <f>IFERROR(SUMIFS(TME[[#All],[Truncated Total Expenses (Total Truncated Claims Expenses + Non-Claims Expenses)]],TME[[#All],[Reporting Year]],2019,TME[[#All],[Insurance Category Code]],1,TME[[#All],[Large Provider Entity Code]],B85)/J85,"NA")</f>
        <v>NA</v>
      </c>
      <c r="P85" s="154" t="str">
        <f t="shared" si="150"/>
        <v>NA</v>
      </c>
      <c r="Q85" s="154" t="str">
        <f t="shared" si="151"/>
        <v>NA</v>
      </c>
      <c r="R85" s="154" t="str">
        <f t="shared" si="152"/>
        <v>NA</v>
      </c>
      <c r="S85" s="154" t="str">
        <f t="shared" si="153"/>
        <v>NA</v>
      </c>
      <c r="T85" s="154" t="str">
        <f t="shared" si="154"/>
        <v>NA</v>
      </c>
      <c r="U85" s="154" t="str">
        <f t="shared" si="155"/>
        <v>NA</v>
      </c>
      <c r="W85" s="123">
        <v>102</v>
      </c>
      <c r="X85" s="103" t="s">
        <v>292</v>
      </c>
      <c r="Y85" s="141">
        <f>SUMIFS(TME[[#All],[Member Months]],TME[[#All],[Reporting Year]],2019,TME[[#All],[Insurance Category Code]],1,TME[[#All],[Large Provider Entity Code]],W85)</f>
        <v>0</v>
      </c>
      <c r="Z85" s="152" t="str">
        <f>IFERROR(SUMIFS(TME[[#All],[Total Non-Truncated Claims Spending]],TME[[#All],[Reporting Year]],2019,TME[[#All],[Insurance Category Code]],1,TME[[#All],[Large Provider Entity Code]],W85)/Y85,"NA")</f>
        <v>NA</v>
      </c>
      <c r="AA85" s="152" t="str">
        <f>IFERROR(SUMIFS(TME[[#All],[Total Truncated Claims Spending]],TME[[#All],[Reporting Year]],2019,TME[[#All],[Insurance Category Code]],1,TME[[#All],[Large Provider Entity Code]],W85)/Y85,"NA")</f>
        <v>NA</v>
      </c>
      <c r="AB85" s="152" t="str">
        <f>IFERROR(SUMIFS(TME[[#All],[Total Non-Claims Spending]],TME[[#All],[Reporting Year]],2019,TME[[#All],[Insurance Category Code]],1,TME[[#All],[Large Provider Entity Code]],W85)/Y85,"NA")</f>
        <v>NA</v>
      </c>
      <c r="AC85" s="152" t="str">
        <f>IFERROR(SUMIFS(TME[[#All],[Total Non-Truncated Claims and Non-Claims Spending]],TME[[#All],[Reporting Year]],2019,TME[[#All],[Insurance Category Code]],1,TME[[#All],[Large Provider Entity Code]],W85)/Y85,"NA")</f>
        <v>NA</v>
      </c>
      <c r="AD85" s="152" t="str">
        <f>IFERROR(SUMIFS(TME[[#All],[Truncated Total Expenses (Total Truncated Claims Expenses + Non-Claims Expenses)]],TME[[#All],[Reporting Year]],2019,TME[[#All],[Insurance Category Code]],1,TME[[#All],[Large Provider Entity Code]],W85)/Y85,"NA")</f>
        <v>NA</v>
      </c>
      <c r="AE85" s="141">
        <f>SUMIFS(TME[[#All],[Member Months]],TME[[#All],[Reporting Year]],2020,TME[[#All],[Insurance Category Code]],1,TME[[#All],[Large Provider Entity Code]],W85)</f>
        <v>0</v>
      </c>
      <c r="AF85" s="152" t="str">
        <f>IFERROR(SUMIFS(TME[[#All],[Total Non-Truncated Claims Spending]],TME[[#All],[Reporting Year]],2020,TME[[#All],[Insurance Category Code]],1,TME[[#All],[Large Provider Entity Code]],W85)/AE85,"NA")</f>
        <v>NA</v>
      </c>
      <c r="AG85" s="152" t="str">
        <f>IFERROR(SUMIFS(TME[[#All],[Total Truncated Claims Spending]],TME[[#All],[Reporting Year]],2020,TME[[#All],[Insurance Category Code]],1,TME[[#All],[Large Provider Entity Code]],W85)/AE85,"NA")</f>
        <v>NA</v>
      </c>
      <c r="AH85" s="152" t="str">
        <f>IFERROR(SUMIFS(TME[[#All],[Total Non-Claims Spending]],TME[[#All],[Reporting Year]],2020,TME[[#All],[Insurance Category Code]],1,TME[[#All],[Large Provider Entity Code]],W85)/AE85,"NA")</f>
        <v>NA</v>
      </c>
      <c r="AI85" s="152" t="str">
        <f>IFERROR(SUMIFS(TME[[#All],[Total Non-Truncated Claims and Non-Claims Spending]],TME[[#All],[Reporting Year]],2020,TME[[#All],[Insurance Category Code]],1,TME[[#All],[Large Provider Entity Code]],W85)/AE85,"NA")</f>
        <v>NA</v>
      </c>
      <c r="AJ85" s="152" t="str">
        <f>IFERROR(SUMIFS(TME[[#All],[Truncated Total Expenses (Total Truncated Claims Expenses + Non-Claims Expenses)]],TME[[#All],[Reporting Year]],2020,TME[[#All],[Insurance Category Code]],1,TME[[#All],[Large Provider Entity Code]],W85)/AE85,"NA")</f>
        <v>NA</v>
      </c>
      <c r="AK85" s="154" t="str">
        <f t="shared" si="156"/>
        <v>NA</v>
      </c>
      <c r="AL85" s="154" t="str">
        <f t="shared" si="157"/>
        <v>NA</v>
      </c>
      <c r="AM85" s="154" t="str">
        <f t="shared" si="158"/>
        <v>NA</v>
      </c>
      <c r="AN85" s="154" t="str">
        <f t="shared" si="159"/>
        <v>NA</v>
      </c>
      <c r="AO85" s="154" t="str">
        <f t="shared" si="160"/>
        <v>NA</v>
      </c>
      <c r="AP85" s="154" t="str">
        <f t="shared" si="161"/>
        <v>NA</v>
      </c>
      <c r="AR85" s="123">
        <v>102</v>
      </c>
      <c r="AS85" s="103" t="s">
        <v>292</v>
      </c>
      <c r="AT85" s="141">
        <f>SUMIFS(TME[[#All],[Member Months]],TME[[#All],[Reporting Year]],2020,TME[[#All],[Insurance Category Code]],1,TME[[#All],[Large Provider Entity Code]],AR85)</f>
        <v>0</v>
      </c>
      <c r="AU85" s="152" t="str">
        <f>IFERROR(SUMIFS(TME[[#All],[Total Non-Truncated Claims Spending]],TME[[#All],[Reporting Year]],2020,TME[[#All],[Insurance Category Code]],1,TME[[#All],[Large Provider Entity Code]],AR85)/AT85,"NA")</f>
        <v>NA</v>
      </c>
      <c r="AV85" s="152" t="str">
        <f>IFERROR(SUMIFS(TME[[#All],[Total Truncated Claims Spending]],TME[[#All],[Reporting Year]],2020,TME[[#All],[Insurance Category Code]],1,TME[[#All],[Large Provider Entity Code]],AR85)/AT85,"NA")</f>
        <v>NA</v>
      </c>
      <c r="AW85" s="152" t="str">
        <f>IFERROR(SUMIFS(TME[[#All],[Total Non-Claims Spending]],TME[[#All],[Reporting Year]],2020,TME[[#All],[Insurance Category Code]],1,TME[[#All],[Large Provider Entity Code]],AR85)/AT85,"NA")</f>
        <v>NA</v>
      </c>
      <c r="AX85" s="152" t="str">
        <f>IFERROR(SUMIFS(TME[[#All],[Total Non-Truncated Claims and Non-Claims Spending]],TME[[#All],[Reporting Year]],2020,TME[[#All],[Insurance Category Code]],1,TME[[#All],[Large Provider Entity Code]],AR85)/AT85,"NA")</f>
        <v>NA</v>
      </c>
      <c r="AY85" s="152" t="str">
        <f>IFERROR(SUMIFS(TME[[#All],[Truncated Total Expenses (Total Truncated Claims Expenses + Non-Claims Expenses)]],TME[[#All],[Reporting Year]],2020,TME[[#All],[Insurance Category Code]],1,TME[[#All],[Large Provider Entity Code]],AR85)/AT85,"NA")</f>
        <v>NA</v>
      </c>
      <c r="AZ85" s="141">
        <f>SUMIFS(TME[[#All],[Member Months]],TME[[#All],[Reporting Year]],2021,TME[[#All],[Insurance Category Code]],1,TME[[#All],[Large Provider Entity Code]],AR85)</f>
        <v>0</v>
      </c>
      <c r="BA85" s="152" t="str">
        <f>IFERROR(SUMIFS(TME[[#All],[Total Non-Truncated Claims Spending]],TME[[#All],[Reporting Year]],2021,TME[[#All],[Insurance Category Code]],1,TME[[#All],[Large Provider Entity Code]],AR85)/AZ85,"NA")</f>
        <v>NA</v>
      </c>
      <c r="BB85" s="152" t="str">
        <f>IFERROR(SUMIFS(TME[[#All],[Total Truncated Claims Spending]],TME[[#All],[Reporting Year]],2021,TME[[#All],[Insurance Category Code]],1,TME[[#All],[Large Provider Entity Code]],AR85)/AZ85,"NA")</f>
        <v>NA</v>
      </c>
      <c r="BC85" s="152" t="str">
        <f>IFERROR(SUMIFS(TME[[#All],[Total Non-Claims Spending]],TME[[#All],[Reporting Year]],2021,TME[[#All],[Insurance Category Code]],1,TME[[#All],[Large Provider Entity Code]],AR85)/AZ85,"NA")</f>
        <v>NA</v>
      </c>
      <c r="BD85" s="152" t="str">
        <f>IFERROR(SUMIFS(TME[[#All],[Total Non-Truncated Claims and Non-Claims Spending]],TME[[#All],[Reporting Year]],2021,TME[[#All],[Insurance Category Code]],1,TME[[#All],[Large Provider Entity Code]],AR85)/AZ85,"NA")</f>
        <v>NA</v>
      </c>
      <c r="BE85" s="152" t="str">
        <f>IFERROR(SUMIFS(TME[[#All],[Truncated Total Expenses (Total Truncated Claims Expenses + Non-Claims Expenses)]],TME[[#All],[Reporting Year]],2021,TME[[#All],[Insurance Category Code]],1,TME[[#All],[Large Provider Entity Code]],AR85)/AZ85,"NA")</f>
        <v>NA</v>
      </c>
      <c r="BF85" s="154" t="str">
        <f t="shared" si="162"/>
        <v>NA</v>
      </c>
      <c r="BG85" s="154" t="str">
        <f t="shared" si="163"/>
        <v>NA</v>
      </c>
      <c r="BH85" s="154" t="str">
        <f t="shared" si="164"/>
        <v>NA</v>
      </c>
      <c r="BI85" s="154" t="str">
        <f t="shared" si="165"/>
        <v>NA</v>
      </c>
      <c r="BJ85" s="154" t="str">
        <f t="shared" si="166"/>
        <v>NA</v>
      </c>
      <c r="BK85" s="154" t="str">
        <f t="shared" si="167"/>
        <v>NA</v>
      </c>
    </row>
    <row r="86" spans="2:63" x14ac:dyDescent="0.35">
      <c r="B86" s="123">
        <v>103</v>
      </c>
      <c r="C86" s="103" t="s">
        <v>248</v>
      </c>
      <c r="D86" s="141">
        <f>SUMIFS(TME[[#All],[Member Months]],TME[[#All],[Reporting Year]],2018,TME[[#All],[Insurance Category Code]],1,TME[[#All],[Large Provider Entity Code]],B86)</f>
        <v>0</v>
      </c>
      <c r="E86" s="152" t="str">
        <f>IFERROR(SUMIFS(TME[[#All],[Total Non-Truncated Claims Spending]],TME[[#All],[Reporting Year]],2018,TME[[#All],[Insurance Category Code]],1,TME[[#All],[Large Provider Entity Code]],B86)/D86,"NA")</f>
        <v>NA</v>
      </c>
      <c r="F86" s="152" t="str">
        <f>IFERROR(SUMIFS(TME[[#All],[Total Truncated Claims Spending]],TME[[#All],[Reporting Year]],2018,TME[[#All],[Insurance Category Code]],1,TME[[#All],[Large Provider Entity Code]],B86)/D86,"NA")</f>
        <v>NA</v>
      </c>
      <c r="G86" s="152" t="str">
        <f>IFERROR(SUMIFS(TME[[#All],[Total Non-Claims Spending]],TME[[#All],[Reporting Year]],2018,TME[[#All],[Insurance Category Code]],1,TME[[#All],[Large Provider Entity Code]],B86)/D86,"NA")</f>
        <v>NA</v>
      </c>
      <c r="H86" s="152" t="str">
        <f>IFERROR(SUMIFS(TME[[#All],[Total Non-Truncated Claims and Non-Claims Spending]],TME[[#All],[Reporting Year]],2018,TME[[#All],[Insurance Category Code]],1,TME[[#All],[Large Provider Entity Code]],B86)/D86,"NA")</f>
        <v>NA</v>
      </c>
      <c r="I86" s="152" t="str">
        <f>IFERROR(SUMIFS(TME[[#All],[Truncated Total Expenses (Total Truncated Claims Expenses + Non-Claims Expenses)]],TME[[#All],[Reporting Year]],2018,TME[[#All],[Insurance Category Code]],1,TME[[#All],[Large Provider Entity Code]],B86)/D86,"NA")</f>
        <v>NA</v>
      </c>
      <c r="J86" s="141">
        <f>SUMIFS(TME[[#All],[Member Months]],TME[[#All],[Reporting Year]],2019,TME[[#All],[Insurance Category Code]],1,TME[[#All],[Large Provider Entity Code]],B86)</f>
        <v>0</v>
      </c>
      <c r="K86" s="152" t="str">
        <f>IFERROR(SUMIFS(TME[[#All],[Total Non-Truncated Claims Spending]],TME[[#All],[Reporting Year]],2019,TME[[#All],[Insurance Category Code]],1,TME[[#All],[Large Provider Entity Code]],B86)/J86,"NA")</f>
        <v>NA</v>
      </c>
      <c r="L86" s="152" t="str">
        <f>IFERROR(SUMIFS(TME[[#All],[Total Truncated Claims Spending]],TME[[#All],[Reporting Year]],2019,TME[[#All],[Insurance Category Code]],1,TME[[#All],[Large Provider Entity Code]],B86)/J86,"NA")</f>
        <v>NA</v>
      </c>
      <c r="M86" s="152" t="str">
        <f>IFERROR(SUMIFS(TME[[#All],[Total Non-Claims Spending]],TME[[#All],[Reporting Year]],2019,TME[[#All],[Insurance Category Code]],1,TME[[#All],[Large Provider Entity Code]],B86)/J86,"NA")</f>
        <v>NA</v>
      </c>
      <c r="N86" s="152" t="str">
        <f>IFERROR(SUMIFS(TME[[#All],[Total Non-Truncated Claims and Non-Claims Spending]],TME[[#All],[Reporting Year]],2019,TME[[#All],[Insurance Category Code]],1,TME[[#All],[Large Provider Entity Code]],B86)/J86,"NA")</f>
        <v>NA</v>
      </c>
      <c r="O86" s="152" t="str">
        <f>IFERROR(SUMIFS(TME[[#All],[Truncated Total Expenses (Total Truncated Claims Expenses + Non-Claims Expenses)]],TME[[#All],[Reporting Year]],2019,TME[[#All],[Insurance Category Code]],1,TME[[#All],[Large Provider Entity Code]],B86)/J86,"NA")</f>
        <v>NA</v>
      </c>
      <c r="P86" s="154" t="str">
        <f t="shared" si="150"/>
        <v>NA</v>
      </c>
      <c r="Q86" s="154" t="str">
        <f t="shared" si="151"/>
        <v>NA</v>
      </c>
      <c r="R86" s="154" t="str">
        <f t="shared" si="152"/>
        <v>NA</v>
      </c>
      <c r="S86" s="154" t="str">
        <f t="shared" si="153"/>
        <v>NA</v>
      </c>
      <c r="T86" s="154" t="str">
        <f t="shared" si="154"/>
        <v>NA</v>
      </c>
      <c r="U86" s="154" t="str">
        <f t="shared" si="155"/>
        <v>NA</v>
      </c>
      <c r="W86" s="123">
        <v>103</v>
      </c>
      <c r="X86" s="103" t="s">
        <v>248</v>
      </c>
      <c r="Y86" s="141">
        <f>SUMIFS(TME[[#All],[Member Months]],TME[[#All],[Reporting Year]],2019,TME[[#All],[Insurance Category Code]],1,TME[[#All],[Large Provider Entity Code]],W86)</f>
        <v>0</v>
      </c>
      <c r="Z86" s="152" t="str">
        <f>IFERROR(SUMIFS(TME[[#All],[Total Non-Truncated Claims Spending]],TME[[#All],[Reporting Year]],2019,TME[[#All],[Insurance Category Code]],1,TME[[#All],[Large Provider Entity Code]],W86)/Y86,"NA")</f>
        <v>NA</v>
      </c>
      <c r="AA86" s="152" t="str">
        <f>IFERROR(SUMIFS(TME[[#All],[Total Truncated Claims Spending]],TME[[#All],[Reporting Year]],2019,TME[[#All],[Insurance Category Code]],1,TME[[#All],[Large Provider Entity Code]],W86)/Y86,"NA")</f>
        <v>NA</v>
      </c>
      <c r="AB86" s="152" t="str">
        <f>IFERROR(SUMIFS(TME[[#All],[Total Non-Claims Spending]],TME[[#All],[Reporting Year]],2019,TME[[#All],[Insurance Category Code]],1,TME[[#All],[Large Provider Entity Code]],W86)/Y86,"NA")</f>
        <v>NA</v>
      </c>
      <c r="AC86" s="152" t="str">
        <f>IFERROR(SUMIFS(TME[[#All],[Total Non-Truncated Claims and Non-Claims Spending]],TME[[#All],[Reporting Year]],2019,TME[[#All],[Insurance Category Code]],1,TME[[#All],[Large Provider Entity Code]],W86)/Y86,"NA")</f>
        <v>NA</v>
      </c>
      <c r="AD86" s="152" t="str">
        <f>IFERROR(SUMIFS(TME[[#All],[Truncated Total Expenses (Total Truncated Claims Expenses + Non-Claims Expenses)]],TME[[#All],[Reporting Year]],2019,TME[[#All],[Insurance Category Code]],1,TME[[#All],[Large Provider Entity Code]],W86)/Y86,"NA")</f>
        <v>NA</v>
      </c>
      <c r="AE86" s="141">
        <f>SUMIFS(TME[[#All],[Member Months]],TME[[#All],[Reporting Year]],2020,TME[[#All],[Insurance Category Code]],1,TME[[#All],[Large Provider Entity Code]],W86)</f>
        <v>0</v>
      </c>
      <c r="AF86" s="152" t="str">
        <f>IFERROR(SUMIFS(TME[[#All],[Total Non-Truncated Claims Spending]],TME[[#All],[Reporting Year]],2020,TME[[#All],[Insurance Category Code]],1,TME[[#All],[Large Provider Entity Code]],W86)/AE86,"NA")</f>
        <v>NA</v>
      </c>
      <c r="AG86" s="152" t="str">
        <f>IFERROR(SUMIFS(TME[[#All],[Total Truncated Claims Spending]],TME[[#All],[Reporting Year]],2020,TME[[#All],[Insurance Category Code]],1,TME[[#All],[Large Provider Entity Code]],W86)/AE86,"NA")</f>
        <v>NA</v>
      </c>
      <c r="AH86" s="152" t="str">
        <f>IFERROR(SUMIFS(TME[[#All],[Total Non-Claims Spending]],TME[[#All],[Reporting Year]],2020,TME[[#All],[Insurance Category Code]],1,TME[[#All],[Large Provider Entity Code]],W86)/AE86,"NA")</f>
        <v>NA</v>
      </c>
      <c r="AI86" s="152" t="str">
        <f>IFERROR(SUMIFS(TME[[#All],[Total Non-Truncated Claims and Non-Claims Spending]],TME[[#All],[Reporting Year]],2020,TME[[#All],[Insurance Category Code]],1,TME[[#All],[Large Provider Entity Code]],W86)/AE86,"NA")</f>
        <v>NA</v>
      </c>
      <c r="AJ86" s="152" t="str">
        <f>IFERROR(SUMIFS(TME[[#All],[Truncated Total Expenses (Total Truncated Claims Expenses + Non-Claims Expenses)]],TME[[#All],[Reporting Year]],2020,TME[[#All],[Insurance Category Code]],1,TME[[#All],[Large Provider Entity Code]],W86)/AE86,"NA")</f>
        <v>NA</v>
      </c>
      <c r="AK86" s="154" t="str">
        <f t="shared" si="156"/>
        <v>NA</v>
      </c>
      <c r="AL86" s="154" t="str">
        <f t="shared" si="157"/>
        <v>NA</v>
      </c>
      <c r="AM86" s="154" t="str">
        <f t="shared" si="158"/>
        <v>NA</v>
      </c>
      <c r="AN86" s="154" t="str">
        <f t="shared" si="159"/>
        <v>NA</v>
      </c>
      <c r="AO86" s="154" t="str">
        <f t="shared" si="160"/>
        <v>NA</v>
      </c>
      <c r="AP86" s="154" t="str">
        <f t="shared" si="161"/>
        <v>NA</v>
      </c>
      <c r="AR86" s="123">
        <v>103</v>
      </c>
      <c r="AS86" s="103" t="s">
        <v>248</v>
      </c>
      <c r="AT86" s="141">
        <f>SUMIFS(TME[[#All],[Member Months]],TME[[#All],[Reporting Year]],2020,TME[[#All],[Insurance Category Code]],1,TME[[#All],[Large Provider Entity Code]],AR86)</f>
        <v>0</v>
      </c>
      <c r="AU86" s="152" t="str">
        <f>IFERROR(SUMIFS(TME[[#All],[Total Non-Truncated Claims Spending]],TME[[#All],[Reporting Year]],2020,TME[[#All],[Insurance Category Code]],1,TME[[#All],[Large Provider Entity Code]],AR86)/AT86,"NA")</f>
        <v>NA</v>
      </c>
      <c r="AV86" s="152" t="str">
        <f>IFERROR(SUMIFS(TME[[#All],[Total Truncated Claims Spending]],TME[[#All],[Reporting Year]],2020,TME[[#All],[Insurance Category Code]],1,TME[[#All],[Large Provider Entity Code]],AR86)/AT86,"NA")</f>
        <v>NA</v>
      </c>
      <c r="AW86" s="152" t="str">
        <f>IFERROR(SUMIFS(TME[[#All],[Total Non-Claims Spending]],TME[[#All],[Reporting Year]],2020,TME[[#All],[Insurance Category Code]],1,TME[[#All],[Large Provider Entity Code]],AR86)/AT86,"NA")</f>
        <v>NA</v>
      </c>
      <c r="AX86" s="152" t="str">
        <f>IFERROR(SUMIFS(TME[[#All],[Total Non-Truncated Claims and Non-Claims Spending]],TME[[#All],[Reporting Year]],2020,TME[[#All],[Insurance Category Code]],1,TME[[#All],[Large Provider Entity Code]],AR86)/AT86,"NA")</f>
        <v>NA</v>
      </c>
      <c r="AY86" s="152" t="str">
        <f>IFERROR(SUMIFS(TME[[#All],[Truncated Total Expenses (Total Truncated Claims Expenses + Non-Claims Expenses)]],TME[[#All],[Reporting Year]],2020,TME[[#All],[Insurance Category Code]],1,TME[[#All],[Large Provider Entity Code]],AR86)/AT86,"NA")</f>
        <v>NA</v>
      </c>
      <c r="AZ86" s="141">
        <f>SUMIFS(TME[[#All],[Member Months]],TME[[#All],[Reporting Year]],2021,TME[[#All],[Insurance Category Code]],1,TME[[#All],[Large Provider Entity Code]],AR86)</f>
        <v>0</v>
      </c>
      <c r="BA86" s="152" t="str">
        <f>IFERROR(SUMIFS(TME[[#All],[Total Non-Truncated Claims Spending]],TME[[#All],[Reporting Year]],2021,TME[[#All],[Insurance Category Code]],1,TME[[#All],[Large Provider Entity Code]],AR86)/AZ86,"NA")</f>
        <v>NA</v>
      </c>
      <c r="BB86" s="152" t="str">
        <f>IFERROR(SUMIFS(TME[[#All],[Total Truncated Claims Spending]],TME[[#All],[Reporting Year]],2021,TME[[#All],[Insurance Category Code]],1,TME[[#All],[Large Provider Entity Code]],AR86)/AZ86,"NA")</f>
        <v>NA</v>
      </c>
      <c r="BC86" s="152" t="str">
        <f>IFERROR(SUMIFS(TME[[#All],[Total Non-Claims Spending]],TME[[#All],[Reporting Year]],2021,TME[[#All],[Insurance Category Code]],1,TME[[#All],[Large Provider Entity Code]],AR86)/AZ86,"NA")</f>
        <v>NA</v>
      </c>
      <c r="BD86" s="152" t="str">
        <f>IFERROR(SUMIFS(TME[[#All],[Total Non-Truncated Claims and Non-Claims Spending]],TME[[#All],[Reporting Year]],2021,TME[[#All],[Insurance Category Code]],1,TME[[#All],[Large Provider Entity Code]],AR86)/AZ86,"NA")</f>
        <v>NA</v>
      </c>
      <c r="BE86" s="152" t="str">
        <f>IFERROR(SUMIFS(TME[[#All],[Truncated Total Expenses (Total Truncated Claims Expenses + Non-Claims Expenses)]],TME[[#All],[Reporting Year]],2021,TME[[#All],[Insurance Category Code]],1,TME[[#All],[Large Provider Entity Code]],AR86)/AZ86,"NA")</f>
        <v>NA</v>
      </c>
      <c r="BF86" s="154" t="str">
        <f t="shared" si="162"/>
        <v>NA</v>
      </c>
      <c r="BG86" s="154" t="str">
        <f t="shared" si="163"/>
        <v>NA</v>
      </c>
      <c r="BH86" s="154" t="str">
        <f t="shared" si="164"/>
        <v>NA</v>
      </c>
      <c r="BI86" s="154" t="str">
        <f t="shared" si="165"/>
        <v>NA</v>
      </c>
      <c r="BJ86" s="154" t="str">
        <f t="shared" si="166"/>
        <v>NA</v>
      </c>
      <c r="BK86" s="154" t="str">
        <f t="shared" si="167"/>
        <v>NA</v>
      </c>
    </row>
    <row r="87" spans="2:63" x14ac:dyDescent="0.35">
      <c r="B87" s="123">
        <v>104</v>
      </c>
      <c r="C87" s="103" t="s">
        <v>249</v>
      </c>
      <c r="D87" s="141">
        <f>SUMIFS(TME[[#All],[Member Months]],TME[[#All],[Reporting Year]],2018,TME[[#All],[Insurance Category Code]],1,TME[[#All],[Large Provider Entity Code]],B87)</f>
        <v>0</v>
      </c>
      <c r="E87" s="152" t="str">
        <f>IFERROR(SUMIFS(TME[[#All],[Total Non-Truncated Claims Spending]],TME[[#All],[Reporting Year]],2018,TME[[#All],[Insurance Category Code]],1,TME[[#All],[Large Provider Entity Code]],B87)/D87,"NA")</f>
        <v>NA</v>
      </c>
      <c r="F87" s="152" t="str">
        <f>IFERROR(SUMIFS(TME[[#All],[Total Truncated Claims Spending]],TME[[#All],[Reporting Year]],2018,TME[[#All],[Insurance Category Code]],1,TME[[#All],[Large Provider Entity Code]],B87)/D87,"NA")</f>
        <v>NA</v>
      </c>
      <c r="G87" s="152" t="str">
        <f>IFERROR(SUMIFS(TME[[#All],[Total Non-Claims Spending]],TME[[#All],[Reporting Year]],2018,TME[[#All],[Insurance Category Code]],1,TME[[#All],[Large Provider Entity Code]],B87)/D87,"NA")</f>
        <v>NA</v>
      </c>
      <c r="H87" s="152" t="str">
        <f>IFERROR(SUMIFS(TME[[#All],[Total Non-Truncated Claims and Non-Claims Spending]],TME[[#All],[Reporting Year]],2018,TME[[#All],[Insurance Category Code]],1,TME[[#All],[Large Provider Entity Code]],B87)/D87,"NA")</f>
        <v>NA</v>
      </c>
      <c r="I87" s="152" t="str">
        <f>IFERROR(SUMIFS(TME[[#All],[Truncated Total Expenses (Total Truncated Claims Expenses + Non-Claims Expenses)]],TME[[#All],[Reporting Year]],2018,TME[[#All],[Insurance Category Code]],1,TME[[#All],[Large Provider Entity Code]],B87)/D87,"NA")</f>
        <v>NA</v>
      </c>
      <c r="J87" s="141">
        <f>SUMIFS(TME[[#All],[Member Months]],TME[[#All],[Reporting Year]],2019,TME[[#All],[Insurance Category Code]],1,TME[[#All],[Large Provider Entity Code]],B87)</f>
        <v>0</v>
      </c>
      <c r="K87" s="152" t="str">
        <f>IFERROR(SUMIFS(TME[[#All],[Total Non-Truncated Claims Spending]],TME[[#All],[Reporting Year]],2019,TME[[#All],[Insurance Category Code]],1,TME[[#All],[Large Provider Entity Code]],B87)/J87,"NA")</f>
        <v>NA</v>
      </c>
      <c r="L87" s="152" t="str">
        <f>IFERROR(SUMIFS(TME[[#All],[Total Truncated Claims Spending]],TME[[#All],[Reporting Year]],2019,TME[[#All],[Insurance Category Code]],1,TME[[#All],[Large Provider Entity Code]],B87)/J87,"NA")</f>
        <v>NA</v>
      </c>
      <c r="M87" s="152" t="str">
        <f>IFERROR(SUMIFS(TME[[#All],[Total Non-Claims Spending]],TME[[#All],[Reporting Year]],2019,TME[[#All],[Insurance Category Code]],1,TME[[#All],[Large Provider Entity Code]],B87)/J87,"NA")</f>
        <v>NA</v>
      </c>
      <c r="N87" s="152" t="str">
        <f>IFERROR(SUMIFS(TME[[#All],[Total Non-Truncated Claims and Non-Claims Spending]],TME[[#All],[Reporting Year]],2019,TME[[#All],[Insurance Category Code]],1,TME[[#All],[Large Provider Entity Code]],B87)/J87,"NA")</f>
        <v>NA</v>
      </c>
      <c r="O87" s="152" t="str">
        <f>IFERROR(SUMIFS(TME[[#All],[Truncated Total Expenses (Total Truncated Claims Expenses + Non-Claims Expenses)]],TME[[#All],[Reporting Year]],2019,TME[[#All],[Insurance Category Code]],1,TME[[#All],[Large Provider Entity Code]],B87)/J87,"NA")</f>
        <v>NA</v>
      </c>
      <c r="P87" s="154" t="str">
        <f t="shared" si="150"/>
        <v>NA</v>
      </c>
      <c r="Q87" s="154" t="str">
        <f t="shared" si="151"/>
        <v>NA</v>
      </c>
      <c r="R87" s="154" t="str">
        <f t="shared" si="152"/>
        <v>NA</v>
      </c>
      <c r="S87" s="154" t="str">
        <f t="shared" si="153"/>
        <v>NA</v>
      </c>
      <c r="T87" s="154" t="str">
        <f t="shared" si="154"/>
        <v>NA</v>
      </c>
      <c r="U87" s="154" t="str">
        <f t="shared" si="155"/>
        <v>NA</v>
      </c>
      <c r="W87" s="123">
        <v>104</v>
      </c>
      <c r="X87" s="103" t="s">
        <v>249</v>
      </c>
      <c r="Y87" s="141">
        <f>SUMIFS(TME[[#All],[Member Months]],TME[[#All],[Reporting Year]],2019,TME[[#All],[Insurance Category Code]],1,TME[[#All],[Large Provider Entity Code]],W87)</f>
        <v>0</v>
      </c>
      <c r="Z87" s="152" t="str">
        <f>IFERROR(SUMIFS(TME[[#All],[Total Non-Truncated Claims Spending]],TME[[#All],[Reporting Year]],2019,TME[[#All],[Insurance Category Code]],1,TME[[#All],[Large Provider Entity Code]],W87)/Y87,"NA")</f>
        <v>NA</v>
      </c>
      <c r="AA87" s="152" t="str">
        <f>IFERROR(SUMIFS(TME[[#All],[Total Truncated Claims Spending]],TME[[#All],[Reporting Year]],2019,TME[[#All],[Insurance Category Code]],1,TME[[#All],[Large Provider Entity Code]],W87)/Y87,"NA")</f>
        <v>NA</v>
      </c>
      <c r="AB87" s="152" t="str">
        <f>IFERROR(SUMIFS(TME[[#All],[Total Non-Claims Spending]],TME[[#All],[Reporting Year]],2019,TME[[#All],[Insurance Category Code]],1,TME[[#All],[Large Provider Entity Code]],W87)/Y87,"NA")</f>
        <v>NA</v>
      </c>
      <c r="AC87" s="152" t="str">
        <f>IFERROR(SUMIFS(TME[[#All],[Total Non-Truncated Claims and Non-Claims Spending]],TME[[#All],[Reporting Year]],2019,TME[[#All],[Insurance Category Code]],1,TME[[#All],[Large Provider Entity Code]],W87)/Y87,"NA")</f>
        <v>NA</v>
      </c>
      <c r="AD87" s="152" t="str">
        <f>IFERROR(SUMIFS(TME[[#All],[Truncated Total Expenses (Total Truncated Claims Expenses + Non-Claims Expenses)]],TME[[#All],[Reporting Year]],2019,TME[[#All],[Insurance Category Code]],1,TME[[#All],[Large Provider Entity Code]],W87)/Y87,"NA")</f>
        <v>NA</v>
      </c>
      <c r="AE87" s="141">
        <f>SUMIFS(TME[[#All],[Member Months]],TME[[#All],[Reporting Year]],2020,TME[[#All],[Insurance Category Code]],1,TME[[#All],[Large Provider Entity Code]],W87)</f>
        <v>0</v>
      </c>
      <c r="AF87" s="152" t="str">
        <f>IFERROR(SUMIFS(TME[[#All],[Total Non-Truncated Claims Spending]],TME[[#All],[Reporting Year]],2020,TME[[#All],[Insurance Category Code]],1,TME[[#All],[Large Provider Entity Code]],W87)/AE87,"NA")</f>
        <v>NA</v>
      </c>
      <c r="AG87" s="152" t="str">
        <f>IFERROR(SUMIFS(TME[[#All],[Total Truncated Claims Spending]],TME[[#All],[Reporting Year]],2020,TME[[#All],[Insurance Category Code]],1,TME[[#All],[Large Provider Entity Code]],W87)/AE87,"NA")</f>
        <v>NA</v>
      </c>
      <c r="AH87" s="152" t="str">
        <f>IFERROR(SUMIFS(TME[[#All],[Total Non-Claims Spending]],TME[[#All],[Reporting Year]],2020,TME[[#All],[Insurance Category Code]],1,TME[[#All],[Large Provider Entity Code]],W87)/AE87,"NA")</f>
        <v>NA</v>
      </c>
      <c r="AI87" s="152" t="str">
        <f>IFERROR(SUMIFS(TME[[#All],[Total Non-Truncated Claims and Non-Claims Spending]],TME[[#All],[Reporting Year]],2020,TME[[#All],[Insurance Category Code]],1,TME[[#All],[Large Provider Entity Code]],W87)/AE87,"NA")</f>
        <v>NA</v>
      </c>
      <c r="AJ87" s="152" t="str">
        <f>IFERROR(SUMIFS(TME[[#All],[Truncated Total Expenses (Total Truncated Claims Expenses + Non-Claims Expenses)]],TME[[#All],[Reporting Year]],2020,TME[[#All],[Insurance Category Code]],1,TME[[#All],[Large Provider Entity Code]],W87)/AE87,"NA")</f>
        <v>NA</v>
      </c>
      <c r="AK87" s="154" t="str">
        <f t="shared" si="156"/>
        <v>NA</v>
      </c>
      <c r="AL87" s="154" t="str">
        <f t="shared" si="157"/>
        <v>NA</v>
      </c>
      <c r="AM87" s="154" t="str">
        <f t="shared" si="158"/>
        <v>NA</v>
      </c>
      <c r="AN87" s="154" t="str">
        <f t="shared" si="159"/>
        <v>NA</v>
      </c>
      <c r="AO87" s="154" t="str">
        <f t="shared" si="160"/>
        <v>NA</v>
      </c>
      <c r="AP87" s="154" t="str">
        <f t="shared" si="161"/>
        <v>NA</v>
      </c>
      <c r="AR87" s="123">
        <v>104</v>
      </c>
      <c r="AS87" s="103" t="s">
        <v>249</v>
      </c>
      <c r="AT87" s="141">
        <f>SUMIFS(TME[[#All],[Member Months]],TME[[#All],[Reporting Year]],2020,TME[[#All],[Insurance Category Code]],1,TME[[#All],[Large Provider Entity Code]],AR87)</f>
        <v>0</v>
      </c>
      <c r="AU87" s="152" t="str">
        <f>IFERROR(SUMIFS(TME[[#All],[Total Non-Truncated Claims Spending]],TME[[#All],[Reporting Year]],2020,TME[[#All],[Insurance Category Code]],1,TME[[#All],[Large Provider Entity Code]],AR87)/AT87,"NA")</f>
        <v>NA</v>
      </c>
      <c r="AV87" s="152" t="str">
        <f>IFERROR(SUMIFS(TME[[#All],[Total Truncated Claims Spending]],TME[[#All],[Reporting Year]],2020,TME[[#All],[Insurance Category Code]],1,TME[[#All],[Large Provider Entity Code]],AR87)/AT87,"NA")</f>
        <v>NA</v>
      </c>
      <c r="AW87" s="152" t="str">
        <f>IFERROR(SUMIFS(TME[[#All],[Total Non-Claims Spending]],TME[[#All],[Reporting Year]],2020,TME[[#All],[Insurance Category Code]],1,TME[[#All],[Large Provider Entity Code]],AR87)/AT87,"NA")</f>
        <v>NA</v>
      </c>
      <c r="AX87" s="152" t="str">
        <f>IFERROR(SUMIFS(TME[[#All],[Total Non-Truncated Claims and Non-Claims Spending]],TME[[#All],[Reporting Year]],2020,TME[[#All],[Insurance Category Code]],1,TME[[#All],[Large Provider Entity Code]],AR87)/AT87,"NA")</f>
        <v>NA</v>
      </c>
      <c r="AY87" s="152" t="str">
        <f>IFERROR(SUMIFS(TME[[#All],[Truncated Total Expenses (Total Truncated Claims Expenses + Non-Claims Expenses)]],TME[[#All],[Reporting Year]],2020,TME[[#All],[Insurance Category Code]],1,TME[[#All],[Large Provider Entity Code]],AR87)/AT87,"NA")</f>
        <v>NA</v>
      </c>
      <c r="AZ87" s="141">
        <f>SUMIFS(TME[[#All],[Member Months]],TME[[#All],[Reporting Year]],2021,TME[[#All],[Insurance Category Code]],1,TME[[#All],[Large Provider Entity Code]],AR87)</f>
        <v>0</v>
      </c>
      <c r="BA87" s="152" t="str">
        <f>IFERROR(SUMIFS(TME[[#All],[Total Non-Truncated Claims Spending]],TME[[#All],[Reporting Year]],2021,TME[[#All],[Insurance Category Code]],1,TME[[#All],[Large Provider Entity Code]],AR87)/AZ87,"NA")</f>
        <v>NA</v>
      </c>
      <c r="BB87" s="152" t="str">
        <f>IFERROR(SUMIFS(TME[[#All],[Total Truncated Claims Spending]],TME[[#All],[Reporting Year]],2021,TME[[#All],[Insurance Category Code]],1,TME[[#All],[Large Provider Entity Code]],AR87)/AZ87,"NA")</f>
        <v>NA</v>
      </c>
      <c r="BC87" s="152" t="str">
        <f>IFERROR(SUMIFS(TME[[#All],[Total Non-Claims Spending]],TME[[#All],[Reporting Year]],2021,TME[[#All],[Insurance Category Code]],1,TME[[#All],[Large Provider Entity Code]],AR87)/AZ87,"NA")</f>
        <v>NA</v>
      </c>
      <c r="BD87" s="152" t="str">
        <f>IFERROR(SUMIFS(TME[[#All],[Total Non-Truncated Claims and Non-Claims Spending]],TME[[#All],[Reporting Year]],2021,TME[[#All],[Insurance Category Code]],1,TME[[#All],[Large Provider Entity Code]],AR87)/AZ87,"NA")</f>
        <v>NA</v>
      </c>
      <c r="BE87" s="152" t="str">
        <f>IFERROR(SUMIFS(TME[[#All],[Truncated Total Expenses (Total Truncated Claims Expenses + Non-Claims Expenses)]],TME[[#All],[Reporting Year]],2021,TME[[#All],[Insurance Category Code]],1,TME[[#All],[Large Provider Entity Code]],AR87)/AZ87,"NA")</f>
        <v>NA</v>
      </c>
      <c r="BF87" s="154" t="str">
        <f t="shared" si="162"/>
        <v>NA</v>
      </c>
      <c r="BG87" s="154" t="str">
        <f t="shared" si="163"/>
        <v>NA</v>
      </c>
      <c r="BH87" s="154" t="str">
        <f t="shared" si="164"/>
        <v>NA</v>
      </c>
      <c r="BI87" s="154" t="str">
        <f t="shared" si="165"/>
        <v>NA</v>
      </c>
      <c r="BJ87" s="154" t="str">
        <f t="shared" si="166"/>
        <v>NA</v>
      </c>
      <c r="BK87" s="154" t="str">
        <f t="shared" si="167"/>
        <v>NA</v>
      </c>
    </row>
    <row r="88" spans="2:63" x14ac:dyDescent="0.35">
      <c r="B88" s="123">
        <v>105</v>
      </c>
      <c r="C88" s="103" t="s">
        <v>293</v>
      </c>
      <c r="D88" s="141">
        <f>SUMIFS(TME[[#All],[Member Months]],TME[[#All],[Reporting Year]],2018,TME[[#All],[Insurance Category Code]],1,TME[[#All],[Large Provider Entity Code]],B88)</f>
        <v>0</v>
      </c>
      <c r="E88" s="152" t="str">
        <f>IFERROR(SUMIFS(TME[[#All],[Total Non-Truncated Claims Spending]],TME[[#All],[Reporting Year]],2018,TME[[#All],[Insurance Category Code]],1,TME[[#All],[Large Provider Entity Code]],B88)/D88,"NA")</f>
        <v>NA</v>
      </c>
      <c r="F88" s="152" t="str">
        <f>IFERROR(SUMIFS(TME[[#All],[Total Truncated Claims Spending]],TME[[#All],[Reporting Year]],2018,TME[[#All],[Insurance Category Code]],1,TME[[#All],[Large Provider Entity Code]],B88)/D88,"NA")</f>
        <v>NA</v>
      </c>
      <c r="G88" s="152" t="str">
        <f>IFERROR(SUMIFS(TME[[#All],[Total Non-Claims Spending]],TME[[#All],[Reporting Year]],2018,TME[[#All],[Insurance Category Code]],1,TME[[#All],[Large Provider Entity Code]],B88)/D88,"NA")</f>
        <v>NA</v>
      </c>
      <c r="H88" s="152" t="str">
        <f>IFERROR(SUMIFS(TME[[#All],[Total Non-Truncated Claims and Non-Claims Spending]],TME[[#All],[Reporting Year]],2018,TME[[#All],[Insurance Category Code]],1,TME[[#All],[Large Provider Entity Code]],B88)/D88,"NA")</f>
        <v>NA</v>
      </c>
      <c r="I88" s="152" t="str">
        <f>IFERROR(SUMIFS(TME[[#All],[Truncated Total Expenses (Total Truncated Claims Expenses + Non-Claims Expenses)]],TME[[#All],[Reporting Year]],2018,TME[[#All],[Insurance Category Code]],1,TME[[#All],[Large Provider Entity Code]],B88)/D88,"NA")</f>
        <v>NA</v>
      </c>
      <c r="J88" s="141">
        <f>SUMIFS(TME[[#All],[Member Months]],TME[[#All],[Reporting Year]],2019,TME[[#All],[Insurance Category Code]],1,TME[[#All],[Large Provider Entity Code]],B88)</f>
        <v>0</v>
      </c>
      <c r="K88" s="152" t="str">
        <f>IFERROR(SUMIFS(TME[[#All],[Total Non-Truncated Claims Spending]],TME[[#All],[Reporting Year]],2019,TME[[#All],[Insurance Category Code]],1,TME[[#All],[Large Provider Entity Code]],B88)/J88,"NA")</f>
        <v>NA</v>
      </c>
      <c r="L88" s="152" t="str">
        <f>IFERROR(SUMIFS(TME[[#All],[Total Truncated Claims Spending]],TME[[#All],[Reporting Year]],2019,TME[[#All],[Insurance Category Code]],1,TME[[#All],[Large Provider Entity Code]],B88)/J88,"NA")</f>
        <v>NA</v>
      </c>
      <c r="M88" s="152" t="str">
        <f>IFERROR(SUMIFS(TME[[#All],[Total Non-Claims Spending]],TME[[#All],[Reporting Year]],2019,TME[[#All],[Insurance Category Code]],1,TME[[#All],[Large Provider Entity Code]],B88)/J88,"NA")</f>
        <v>NA</v>
      </c>
      <c r="N88" s="152" t="str">
        <f>IFERROR(SUMIFS(TME[[#All],[Total Non-Truncated Claims and Non-Claims Spending]],TME[[#All],[Reporting Year]],2019,TME[[#All],[Insurance Category Code]],1,TME[[#All],[Large Provider Entity Code]],B88)/J88,"NA")</f>
        <v>NA</v>
      </c>
      <c r="O88" s="152" t="str">
        <f>IFERROR(SUMIFS(TME[[#All],[Truncated Total Expenses (Total Truncated Claims Expenses + Non-Claims Expenses)]],TME[[#All],[Reporting Year]],2019,TME[[#All],[Insurance Category Code]],1,TME[[#All],[Large Provider Entity Code]],B88)/J88,"NA")</f>
        <v>NA</v>
      </c>
      <c r="P88" s="154" t="str">
        <f t="shared" si="150"/>
        <v>NA</v>
      </c>
      <c r="Q88" s="154" t="str">
        <f t="shared" si="151"/>
        <v>NA</v>
      </c>
      <c r="R88" s="154" t="str">
        <f t="shared" si="152"/>
        <v>NA</v>
      </c>
      <c r="S88" s="154" t="str">
        <f t="shared" si="153"/>
        <v>NA</v>
      </c>
      <c r="T88" s="154" t="str">
        <f t="shared" si="154"/>
        <v>NA</v>
      </c>
      <c r="U88" s="154" t="str">
        <f t="shared" si="155"/>
        <v>NA</v>
      </c>
      <c r="W88" s="123">
        <v>105</v>
      </c>
      <c r="X88" s="103" t="s">
        <v>293</v>
      </c>
      <c r="Y88" s="141">
        <f>SUMIFS(TME[[#All],[Member Months]],TME[[#All],[Reporting Year]],2019,TME[[#All],[Insurance Category Code]],1,TME[[#All],[Large Provider Entity Code]],W88)</f>
        <v>0</v>
      </c>
      <c r="Z88" s="152" t="str">
        <f>IFERROR(SUMIFS(TME[[#All],[Total Non-Truncated Claims Spending]],TME[[#All],[Reporting Year]],2019,TME[[#All],[Insurance Category Code]],1,TME[[#All],[Large Provider Entity Code]],W88)/Y88,"NA")</f>
        <v>NA</v>
      </c>
      <c r="AA88" s="152" t="str">
        <f>IFERROR(SUMIFS(TME[[#All],[Total Truncated Claims Spending]],TME[[#All],[Reporting Year]],2019,TME[[#All],[Insurance Category Code]],1,TME[[#All],[Large Provider Entity Code]],W88)/Y88,"NA")</f>
        <v>NA</v>
      </c>
      <c r="AB88" s="152" t="str">
        <f>IFERROR(SUMIFS(TME[[#All],[Total Non-Claims Spending]],TME[[#All],[Reporting Year]],2019,TME[[#All],[Insurance Category Code]],1,TME[[#All],[Large Provider Entity Code]],W88)/Y88,"NA")</f>
        <v>NA</v>
      </c>
      <c r="AC88" s="152" t="str">
        <f>IFERROR(SUMIFS(TME[[#All],[Total Non-Truncated Claims and Non-Claims Spending]],TME[[#All],[Reporting Year]],2019,TME[[#All],[Insurance Category Code]],1,TME[[#All],[Large Provider Entity Code]],W88)/Y88,"NA")</f>
        <v>NA</v>
      </c>
      <c r="AD88" s="152" t="str">
        <f>IFERROR(SUMIFS(TME[[#All],[Truncated Total Expenses (Total Truncated Claims Expenses + Non-Claims Expenses)]],TME[[#All],[Reporting Year]],2019,TME[[#All],[Insurance Category Code]],1,TME[[#All],[Large Provider Entity Code]],W88)/Y88,"NA")</f>
        <v>NA</v>
      </c>
      <c r="AE88" s="141">
        <f>SUMIFS(TME[[#All],[Member Months]],TME[[#All],[Reporting Year]],2020,TME[[#All],[Insurance Category Code]],1,TME[[#All],[Large Provider Entity Code]],W88)</f>
        <v>0</v>
      </c>
      <c r="AF88" s="152" t="str">
        <f>IFERROR(SUMIFS(TME[[#All],[Total Non-Truncated Claims Spending]],TME[[#All],[Reporting Year]],2020,TME[[#All],[Insurance Category Code]],1,TME[[#All],[Large Provider Entity Code]],W88)/AE88,"NA")</f>
        <v>NA</v>
      </c>
      <c r="AG88" s="152" t="str">
        <f>IFERROR(SUMIFS(TME[[#All],[Total Truncated Claims Spending]],TME[[#All],[Reporting Year]],2020,TME[[#All],[Insurance Category Code]],1,TME[[#All],[Large Provider Entity Code]],W88)/AE88,"NA")</f>
        <v>NA</v>
      </c>
      <c r="AH88" s="152" t="str">
        <f>IFERROR(SUMIFS(TME[[#All],[Total Non-Claims Spending]],TME[[#All],[Reporting Year]],2020,TME[[#All],[Insurance Category Code]],1,TME[[#All],[Large Provider Entity Code]],W88)/AE88,"NA")</f>
        <v>NA</v>
      </c>
      <c r="AI88" s="152" t="str">
        <f>IFERROR(SUMIFS(TME[[#All],[Total Non-Truncated Claims and Non-Claims Spending]],TME[[#All],[Reporting Year]],2020,TME[[#All],[Insurance Category Code]],1,TME[[#All],[Large Provider Entity Code]],W88)/AE88,"NA")</f>
        <v>NA</v>
      </c>
      <c r="AJ88" s="152" t="str">
        <f>IFERROR(SUMIFS(TME[[#All],[Truncated Total Expenses (Total Truncated Claims Expenses + Non-Claims Expenses)]],TME[[#All],[Reporting Year]],2020,TME[[#All],[Insurance Category Code]],1,TME[[#All],[Large Provider Entity Code]],W88)/AE88,"NA")</f>
        <v>NA</v>
      </c>
      <c r="AK88" s="154" t="str">
        <f t="shared" si="156"/>
        <v>NA</v>
      </c>
      <c r="AL88" s="154" t="str">
        <f t="shared" si="157"/>
        <v>NA</v>
      </c>
      <c r="AM88" s="154" t="str">
        <f t="shared" si="158"/>
        <v>NA</v>
      </c>
      <c r="AN88" s="154" t="str">
        <f t="shared" si="159"/>
        <v>NA</v>
      </c>
      <c r="AO88" s="154" t="str">
        <f t="shared" si="160"/>
        <v>NA</v>
      </c>
      <c r="AP88" s="154" t="str">
        <f t="shared" si="161"/>
        <v>NA</v>
      </c>
      <c r="AR88" s="123">
        <v>105</v>
      </c>
      <c r="AS88" s="103" t="s">
        <v>293</v>
      </c>
      <c r="AT88" s="141">
        <f>SUMIFS(TME[[#All],[Member Months]],TME[[#All],[Reporting Year]],2020,TME[[#All],[Insurance Category Code]],1,TME[[#All],[Large Provider Entity Code]],AR88)</f>
        <v>0</v>
      </c>
      <c r="AU88" s="152" t="str">
        <f>IFERROR(SUMIFS(TME[[#All],[Total Non-Truncated Claims Spending]],TME[[#All],[Reporting Year]],2020,TME[[#All],[Insurance Category Code]],1,TME[[#All],[Large Provider Entity Code]],AR88)/AT88,"NA")</f>
        <v>NA</v>
      </c>
      <c r="AV88" s="152" t="str">
        <f>IFERROR(SUMIFS(TME[[#All],[Total Truncated Claims Spending]],TME[[#All],[Reporting Year]],2020,TME[[#All],[Insurance Category Code]],1,TME[[#All],[Large Provider Entity Code]],AR88)/AT88,"NA")</f>
        <v>NA</v>
      </c>
      <c r="AW88" s="152" t="str">
        <f>IFERROR(SUMIFS(TME[[#All],[Total Non-Claims Spending]],TME[[#All],[Reporting Year]],2020,TME[[#All],[Insurance Category Code]],1,TME[[#All],[Large Provider Entity Code]],AR88)/AT88,"NA")</f>
        <v>NA</v>
      </c>
      <c r="AX88" s="152" t="str">
        <f>IFERROR(SUMIFS(TME[[#All],[Total Non-Truncated Claims and Non-Claims Spending]],TME[[#All],[Reporting Year]],2020,TME[[#All],[Insurance Category Code]],1,TME[[#All],[Large Provider Entity Code]],AR88)/AT88,"NA")</f>
        <v>NA</v>
      </c>
      <c r="AY88" s="152" t="str">
        <f>IFERROR(SUMIFS(TME[[#All],[Truncated Total Expenses (Total Truncated Claims Expenses + Non-Claims Expenses)]],TME[[#All],[Reporting Year]],2020,TME[[#All],[Insurance Category Code]],1,TME[[#All],[Large Provider Entity Code]],AR88)/AT88,"NA")</f>
        <v>NA</v>
      </c>
      <c r="AZ88" s="141">
        <f>SUMIFS(TME[[#All],[Member Months]],TME[[#All],[Reporting Year]],2021,TME[[#All],[Insurance Category Code]],1,TME[[#All],[Large Provider Entity Code]],AR88)</f>
        <v>0</v>
      </c>
      <c r="BA88" s="152" t="str">
        <f>IFERROR(SUMIFS(TME[[#All],[Total Non-Truncated Claims Spending]],TME[[#All],[Reporting Year]],2021,TME[[#All],[Insurance Category Code]],1,TME[[#All],[Large Provider Entity Code]],AR88)/AZ88,"NA")</f>
        <v>NA</v>
      </c>
      <c r="BB88" s="152" t="str">
        <f>IFERROR(SUMIFS(TME[[#All],[Total Truncated Claims Spending]],TME[[#All],[Reporting Year]],2021,TME[[#All],[Insurance Category Code]],1,TME[[#All],[Large Provider Entity Code]],AR88)/AZ88,"NA")</f>
        <v>NA</v>
      </c>
      <c r="BC88" s="152" t="str">
        <f>IFERROR(SUMIFS(TME[[#All],[Total Non-Claims Spending]],TME[[#All],[Reporting Year]],2021,TME[[#All],[Insurance Category Code]],1,TME[[#All],[Large Provider Entity Code]],AR88)/AZ88,"NA")</f>
        <v>NA</v>
      </c>
      <c r="BD88" s="152" t="str">
        <f>IFERROR(SUMIFS(TME[[#All],[Total Non-Truncated Claims and Non-Claims Spending]],TME[[#All],[Reporting Year]],2021,TME[[#All],[Insurance Category Code]],1,TME[[#All],[Large Provider Entity Code]],AR88)/AZ88,"NA")</f>
        <v>NA</v>
      </c>
      <c r="BE88" s="152" t="str">
        <f>IFERROR(SUMIFS(TME[[#All],[Truncated Total Expenses (Total Truncated Claims Expenses + Non-Claims Expenses)]],TME[[#All],[Reporting Year]],2021,TME[[#All],[Insurance Category Code]],1,TME[[#All],[Large Provider Entity Code]],AR88)/AZ88,"NA")</f>
        <v>NA</v>
      </c>
      <c r="BF88" s="154" t="str">
        <f t="shared" si="162"/>
        <v>NA</v>
      </c>
      <c r="BG88" s="154" t="str">
        <f t="shared" si="163"/>
        <v>NA</v>
      </c>
      <c r="BH88" s="154" t="str">
        <f t="shared" si="164"/>
        <v>NA</v>
      </c>
      <c r="BI88" s="154" t="str">
        <f t="shared" si="165"/>
        <v>NA</v>
      </c>
      <c r="BJ88" s="154" t="str">
        <f t="shared" si="166"/>
        <v>NA</v>
      </c>
      <c r="BK88" s="154" t="str">
        <f t="shared" si="167"/>
        <v>NA</v>
      </c>
    </row>
    <row r="89" spans="2:63" x14ac:dyDescent="0.35">
      <c r="B89" s="123">
        <v>106</v>
      </c>
      <c r="C89" s="103" t="s">
        <v>250</v>
      </c>
      <c r="D89" s="141">
        <f>SUMIFS(TME[[#All],[Member Months]],TME[[#All],[Reporting Year]],2018,TME[[#All],[Insurance Category Code]],1,TME[[#All],[Large Provider Entity Code]],B89)</f>
        <v>0</v>
      </c>
      <c r="E89" s="152" t="str">
        <f>IFERROR(SUMIFS(TME[[#All],[Total Non-Truncated Claims Spending]],TME[[#All],[Reporting Year]],2018,TME[[#All],[Insurance Category Code]],1,TME[[#All],[Large Provider Entity Code]],B89)/D89,"NA")</f>
        <v>NA</v>
      </c>
      <c r="F89" s="152" t="str">
        <f>IFERROR(SUMIFS(TME[[#All],[Total Truncated Claims Spending]],TME[[#All],[Reporting Year]],2018,TME[[#All],[Insurance Category Code]],1,TME[[#All],[Large Provider Entity Code]],B89)/D89,"NA")</f>
        <v>NA</v>
      </c>
      <c r="G89" s="152" t="str">
        <f>IFERROR(SUMIFS(TME[[#All],[Total Non-Claims Spending]],TME[[#All],[Reporting Year]],2018,TME[[#All],[Insurance Category Code]],1,TME[[#All],[Large Provider Entity Code]],B89)/D89,"NA")</f>
        <v>NA</v>
      </c>
      <c r="H89" s="152" t="str">
        <f>IFERROR(SUMIFS(TME[[#All],[Total Non-Truncated Claims and Non-Claims Spending]],TME[[#All],[Reporting Year]],2018,TME[[#All],[Insurance Category Code]],1,TME[[#All],[Large Provider Entity Code]],B89)/D89,"NA")</f>
        <v>NA</v>
      </c>
      <c r="I89" s="152" t="str">
        <f>IFERROR(SUMIFS(TME[[#All],[Truncated Total Expenses (Total Truncated Claims Expenses + Non-Claims Expenses)]],TME[[#All],[Reporting Year]],2018,TME[[#All],[Insurance Category Code]],1,TME[[#All],[Large Provider Entity Code]],B89)/D89,"NA")</f>
        <v>NA</v>
      </c>
      <c r="J89" s="141">
        <f>SUMIFS(TME[[#All],[Member Months]],TME[[#All],[Reporting Year]],2019,TME[[#All],[Insurance Category Code]],1,TME[[#All],[Large Provider Entity Code]],B89)</f>
        <v>0</v>
      </c>
      <c r="K89" s="152" t="str">
        <f>IFERROR(SUMIFS(TME[[#All],[Total Non-Truncated Claims Spending]],TME[[#All],[Reporting Year]],2019,TME[[#All],[Insurance Category Code]],1,TME[[#All],[Large Provider Entity Code]],B89)/J89,"NA")</f>
        <v>NA</v>
      </c>
      <c r="L89" s="152" t="str">
        <f>IFERROR(SUMIFS(TME[[#All],[Total Truncated Claims Spending]],TME[[#All],[Reporting Year]],2019,TME[[#All],[Insurance Category Code]],1,TME[[#All],[Large Provider Entity Code]],B89)/J89,"NA")</f>
        <v>NA</v>
      </c>
      <c r="M89" s="152" t="str">
        <f>IFERROR(SUMIFS(TME[[#All],[Total Non-Claims Spending]],TME[[#All],[Reporting Year]],2019,TME[[#All],[Insurance Category Code]],1,TME[[#All],[Large Provider Entity Code]],B89)/J89,"NA")</f>
        <v>NA</v>
      </c>
      <c r="N89" s="152" t="str">
        <f>IFERROR(SUMIFS(TME[[#All],[Total Non-Truncated Claims and Non-Claims Spending]],TME[[#All],[Reporting Year]],2019,TME[[#All],[Insurance Category Code]],1,TME[[#All],[Large Provider Entity Code]],B89)/J89,"NA")</f>
        <v>NA</v>
      </c>
      <c r="O89" s="152" t="str">
        <f>IFERROR(SUMIFS(TME[[#All],[Truncated Total Expenses (Total Truncated Claims Expenses + Non-Claims Expenses)]],TME[[#All],[Reporting Year]],2019,TME[[#All],[Insurance Category Code]],1,TME[[#All],[Large Provider Entity Code]],B89)/J89,"NA")</f>
        <v>NA</v>
      </c>
      <c r="P89" s="154" t="str">
        <f t="shared" si="150"/>
        <v>NA</v>
      </c>
      <c r="Q89" s="154" t="str">
        <f t="shared" si="151"/>
        <v>NA</v>
      </c>
      <c r="R89" s="154" t="str">
        <f t="shared" si="152"/>
        <v>NA</v>
      </c>
      <c r="S89" s="154" t="str">
        <f t="shared" si="153"/>
        <v>NA</v>
      </c>
      <c r="T89" s="154" t="str">
        <f t="shared" si="154"/>
        <v>NA</v>
      </c>
      <c r="U89" s="154" t="str">
        <f t="shared" si="155"/>
        <v>NA</v>
      </c>
      <c r="W89" s="123">
        <v>106</v>
      </c>
      <c r="X89" s="103" t="s">
        <v>250</v>
      </c>
      <c r="Y89" s="141">
        <f>SUMIFS(TME[[#All],[Member Months]],TME[[#All],[Reporting Year]],2019,TME[[#All],[Insurance Category Code]],1,TME[[#All],[Large Provider Entity Code]],W89)</f>
        <v>0</v>
      </c>
      <c r="Z89" s="152" t="str">
        <f>IFERROR(SUMIFS(TME[[#All],[Total Non-Truncated Claims Spending]],TME[[#All],[Reporting Year]],2019,TME[[#All],[Insurance Category Code]],1,TME[[#All],[Large Provider Entity Code]],W89)/Y89,"NA")</f>
        <v>NA</v>
      </c>
      <c r="AA89" s="152" t="str">
        <f>IFERROR(SUMIFS(TME[[#All],[Total Truncated Claims Spending]],TME[[#All],[Reporting Year]],2019,TME[[#All],[Insurance Category Code]],1,TME[[#All],[Large Provider Entity Code]],W89)/Y89,"NA")</f>
        <v>NA</v>
      </c>
      <c r="AB89" s="152" t="str">
        <f>IFERROR(SUMIFS(TME[[#All],[Total Non-Claims Spending]],TME[[#All],[Reporting Year]],2019,TME[[#All],[Insurance Category Code]],1,TME[[#All],[Large Provider Entity Code]],W89)/Y89,"NA")</f>
        <v>NA</v>
      </c>
      <c r="AC89" s="152" t="str">
        <f>IFERROR(SUMIFS(TME[[#All],[Total Non-Truncated Claims and Non-Claims Spending]],TME[[#All],[Reporting Year]],2019,TME[[#All],[Insurance Category Code]],1,TME[[#All],[Large Provider Entity Code]],W89)/Y89,"NA")</f>
        <v>NA</v>
      </c>
      <c r="AD89" s="152" t="str">
        <f>IFERROR(SUMIFS(TME[[#All],[Truncated Total Expenses (Total Truncated Claims Expenses + Non-Claims Expenses)]],TME[[#All],[Reporting Year]],2019,TME[[#All],[Insurance Category Code]],1,TME[[#All],[Large Provider Entity Code]],W89)/Y89,"NA")</f>
        <v>NA</v>
      </c>
      <c r="AE89" s="141">
        <f>SUMIFS(TME[[#All],[Member Months]],TME[[#All],[Reporting Year]],2020,TME[[#All],[Insurance Category Code]],1,TME[[#All],[Large Provider Entity Code]],W89)</f>
        <v>0</v>
      </c>
      <c r="AF89" s="152" t="str">
        <f>IFERROR(SUMIFS(TME[[#All],[Total Non-Truncated Claims Spending]],TME[[#All],[Reporting Year]],2020,TME[[#All],[Insurance Category Code]],1,TME[[#All],[Large Provider Entity Code]],W89)/AE89,"NA")</f>
        <v>NA</v>
      </c>
      <c r="AG89" s="152" t="str">
        <f>IFERROR(SUMIFS(TME[[#All],[Total Truncated Claims Spending]],TME[[#All],[Reporting Year]],2020,TME[[#All],[Insurance Category Code]],1,TME[[#All],[Large Provider Entity Code]],W89)/AE89,"NA")</f>
        <v>NA</v>
      </c>
      <c r="AH89" s="152" t="str">
        <f>IFERROR(SUMIFS(TME[[#All],[Total Non-Claims Spending]],TME[[#All],[Reporting Year]],2020,TME[[#All],[Insurance Category Code]],1,TME[[#All],[Large Provider Entity Code]],W89)/AE89,"NA")</f>
        <v>NA</v>
      </c>
      <c r="AI89" s="152" t="str">
        <f>IFERROR(SUMIFS(TME[[#All],[Total Non-Truncated Claims and Non-Claims Spending]],TME[[#All],[Reporting Year]],2020,TME[[#All],[Insurance Category Code]],1,TME[[#All],[Large Provider Entity Code]],W89)/AE89,"NA")</f>
        <v>NA</v>
      </c>
      <c r="AJ89" s="152" t="str">
        <f>IFERROR(SUMIFS(TME[[#All],[Truncated Total Expenses (Total Truncated Claims Expenses + Non-Claims Expenses)]],TME[[#All],[Reporting Year]],2020,TME[[#All],[Insurance Category Code]],1,TME[[#All],[Large Provider Entity Code]],W89)/AE89,"NA")</f>
        <v>NA</v>
      </c>
      <c r="AK89" s="154" t="str">
        <f t="shared" si="156"/>
        <v>NA</v>
      </c>
      <c r="AL89" s="154" t="str">
        <f t="shared" si="157"/>
        <v>NA</v>
      </c>
      <c r="AM89" s="154" t="str">
        <f t="shared" si="158"/>
        <v>NA</v>
      </c>
      <c r="AN89" s="154" t="str">
        <f t="shared" si="159"/>
        <v>NA</v>
      </c>
      <c r="AO89" s="154" t="str">
        <f t="shared" si="160"/>
        <v>NA</v>
      </c>
      <c r="AP89" s="154" t="str">
        <f t="shared" si="161"/>
        <v>NA</v>
      </c>
      <c r="AR89" s="123">
        <v>106</v>
      </c>
      <c r="AS89" s="103" t="s">
        <v>250</v>
      </c>
      <c r="AT89" s="141">
        <f>SUMIFS(TME[[#All],[Member Months]],TME[[#All],[Reporting Year]],2020,TME[[#All],[Insurance Category Code]],1,TME[[#All],[Large Provider Entity Code]],AR89)</f>
        <v>0</v>
      </c>
      <c r="AU89" s="152" t="str">
        <f>IFERROR(SUMIFS(TME[[#All],[Total Non-Truncated Claims Spending]],TME[[#All],[Reporting Year]],2020,TME[[#All],[Insurance Category Code]],1,TME[[#All],[Large Provider Entity Code]],AR89)/AT89,"NA")</f>
        <v>NA</v>
      </c>
      <c r="AV89" s="152" t="str">
        <f>IFERROR(SUMIFS(TME[[#All],[Total Truncated Claims Spending]],TME[[#All],[Reporting Year]],2020,TME[[#All],[Insurance Category Code]],1,TME[[#All],[Large Provider Entity Code]],AR89)/AT89,"NA")</f>
        <v>NA</v>
      </c>
      <c r="AW89" s="152" t="str">
        <f>IFERROR(SUMIFS(TME[[#All],[Total Non-Claims Spending]],TME[[#All],[Reporting Year]],2020,TME[[#All],[Insurance Category Code]],1,TME[[#All],[Large Provider Entity Code]],AR89)/AT89,"NA")</f>
        <v>NA</v>
      </c>
      <c r="AX89" s="152" t="str">
        <f>IFERROR(SUMIFS(TME[[#All],[Total Non-Truncated Claims and Non-Claims Spending]],TME[[#All],[Reporting Year]],2020,TME[[#All],[Insurance Category Code]],1,TME[[#All],[Large Provider Entity Code]],AR89)/AT89,"NA")</f>
        <v>NA</v>
      </c>
      <c r="AY89" s="152" t="str">
        <f>IFERROR(SUMIFS(TME[[#All],[Truncated Total Expenses (Total Truncated Claims Expenses + Non-Claims Expenses)]],TME[[#All],[Reporting Year]],2020,TME[[#All],[Insurance Category Code]],1,TME[[#All],[Large Provider Entity Code]],AR89)/AT89,"NA")</f>
        <v>NA</v>
      </c>
      <c r="AZ89" s="141">
        <f>SUMIFS(TME[[#All],[Member Months]],TME[[#All],[Reporting Year]],2021,TME[[#All],[Insurance Category Code]],1,TME[[#All],[Large Provider Entity Code]],AR89)</f>
        <v>0</v>
      </c>
      <c r="BA89" s="152" t="str">
        <f>IFERROR(SUMIFS(TME[[#All],[Total Non-Truncated Claims Spending]],TME[[#All],[Reporting Year]],2021,TME[[#All],[Insurance Category Code]],1,TME[[#All],[Large Provider Entity Code]],AR89)/AZ89,"NA")</f>
        <v>NA</v>
      </c>
      <c r="BB89" s="152" t="str">
        <f>IFERROR(SUMIFS(TME[[#All],[Total Truncated Claims Spending]],TME[[#All],[Reporting Year]],2021,TME[[#All],[Insurance Category Code]],1,TME[[#All],[Large Provider Entity Code]],AR89)/AZ89,"NA")</f>
        <v>NA</v>
      </c>
      <c r="BC89" s="152" t="str">
        <f>IFERROR(SUMIFS(TME[[#All],[Total Non-Claims Spending]],TME[[#All],[Reporting Year]],2021,TME[[#All],[Insurance Category Code]],1,TME[[#All],[Large Provider Entity Code]],AR89)/AZ89,"NA")</f>
        <v>NA</v>
      </c>
      <c r="BD89" s="152" t="str">
        <f>IFERROR(SUMIFS(TME[[#All],[Total Non-Truncated Claims and Non-Claims Spending]],TME[[#All],[Reporting Year]],2021,TME[[#All],[Insurance Category Code]],1,TME[[#All],[Large Provider Entity Code]],AR89)/AZ89,"NA")</f>
        <v>NA</v>
      </c>
      <c r="BE89" s="152" t="str">
        <f>IFERROR(SUMIFS(TME[[#All],[Truncated Total Expenses (Total Truncated Claims Expenses + Non-Claims Expenses)]],TME[[#All],[Reporting Year]],2021,TME[[#All],[Insurance Category Code]],1,TME[[#All],[Large Provider Entity Code]],AR89)/AZ89,"NA")</f>
        <v>NA</v>
      </c>
      <c r="BF89" s="154" t="str">
        <f t="shared" si="162"/>
        <v>NA</v>
      </c>
      <c r="BG89" s="154" t="str">
        <f t="shared" si="163"/>
        <v>NA</v>
      </c>
      <c r="BH89" s="154" t="str">
        <f t="shared" si="164"/>
        <v>NA</v>
      </c>
      <c r="BI89" s="154" t="str">
        <f t="shared" si="165"/>
        <v>NA</v>
      </c>
      <c r="BJ89" s="154" t="str">
        <f t="shared" si="166"/>
        <v>NA</v>
      </c>
      <c r="BK89" s="154" t="str">
        <f t="shared" si="167"/>
        <v>NA</v>
      </c>
    </row>
    <row r="90" spans="2:63" x14ac:dyDescent="0.35">
      <c r="B90" s="123">
        <v>107</v>
      </c>
      <c r="C90" s="103" t="s">
        <v>251</v>
      </c>
      <c r="D90" s="141">
        <f>SUMIFS(TME[[#All],[Member Months]],TME[[#All],[Reporting Year]],2018,TME[[#All],[Insurance Category Code]],1,TME[[#All],[Large Provider Entity Code]],B90)</f>
        <v>0</v>
      </c>
      <c r="E90" s="152" t="str">
        <f>IFERROR(SUMIFS(TME[[#All],[Total Non-Truncated Claims Spending]],TME[[#All],[Reporting Year]],2018,TME[[#All],[Insurance Category Code]],1,TME[[#All],[Large Provider Entity Code]],B90)/D90,"NA")</f>
        <v>NA</v>
      </c>
      <c r="F90" s="152" t="str">
        <f>IFERROR(SUMIFS(TME[[#All],[Total Truncated Claims Spending]],TME[[#All],[Reporting Year]],2018,TME[[#All],[Insurance Category Code]],1,TME[[#All],[Large Provider Entity Code]],B90)/D90,"NA")</f>
        <v>NA</v>
      </c>
      <c r="G90" s="152" t="str">
        <f>IFERROR(SUMIFS(TME[[#All],[Total Non-Claims Spending]],TME[[#All],[Reporting Year]],2018,TME[[#All],[Insurance Category Code]],1,TME[[#All],[Large Provider Entity Code]],B90)/D90,"NA")</f>
        <v>NA</v>
      </c>
      <c r="H90" s="152" t="str">
        <f>IFERROR(SUMIFS(TME[[#All],[Total Non-Truncated Claims and Non-Claims Spending]],TME[[#All],[Reporting Year]],2018,TME[[#All],[Insurance Category Code]],1,TME[[#All],[Large Provider Entity Code]],B90)/D90,"NA")</f>
        <v>NA</v>
      </c>
      <c r="I90" s="152" t="str">
        <f>IFERROR(SUMIFS(TME[[#All],[Truncated Total Expenses (Total Truncated Claims Expenses + Non-Claims Expenses)]],TME[[#All],[Reporting Year]],2018,TME[[#All],[Insurance Category Code]],1,TME[[#All],[Large Provider Entity Code]],B90)/D90,"NA")</f>
        <v>NA</v>
      </c>
      <c r="J90" s="141">
        <f>SUMIFS(TME[[#All],[Member Months]],TME[[#All],[Reporting Year]],2019,TME[[#All],[Insurance Category Code]],1,TME[[#All],[Large Provider Entity Code]],B90)</f>
        <v>0</v>
      </c>
      <c r="K90" s="152" t="str">
        <f>IFERROR(SUMIFS(TME[[#All],[Total Non-Truncated Claims Spending]],TME[[#All],[Reporting Year]],2019,TME[[#All],[Insurance Category Code]],1,TME[[#All],[Large Provider Entity Code]],B90)/J90,"NA")</f>
        <v>NA</v>
      </c>
      <c r="L90" s="152" t="str">
        <f>IFERROR(SUMIFS(TME[[#All],[Total Truncated Claims Spending]],TME[[#All],[Reporting Year]],2019,TME[[#All],[Insurance Category Code]],1,TME[[#All],[Large Provider Entity Code]],B90)/J90,"NA")</f>
        <v>NA</v>
      </c>
      <c r="M90" s="152" t="str">
        <f>IFERROR(SUMIFS(TME[[#All],[Total Non-Claims Spending]],TME[[#All],[Reporting Year]],2019,TME[[#All],[Insurance Category Code]],1,TME[[#All],[Large Provider Entity Code]],B90)/J90,"NA")</f>
        <v>NA</v>
      </c>
      <c r="N90" s="152" t="str">
        <f>IFERROR(SUMIFS(TME[[#All],[Total Non-Truncated Claims and Non-Claims Spending]],TME[[#All],[Reporting Year]],2019,TME[[#All],[Insurance Category Code]],1,TME[[#All],[Large Provider Entity Code]],B90)/J90,"NA")</f>
        <v>NA</v>
      </c>
      <c r="O90" s="152" t="str">
        <f>IFERROR(SUMIFS(TME[[#All],[Truncated Total Expenses (Total Truncated Claims Expenses + Non-Claims Expenses)]],TME[[#All],[Reporting Year]],2019,TME[[#All],[Insurance Category Code]],1,TME[[#All],[Large Provider Entity Code]],B90)/J90,"NA")</f>
        <v>NA</v>
      </c>
      <c r="P90" s="154" t="str">
        <f t="shared" si="150"/>
        <v>NA</v>
      </c>
      <c r="Q90" s="154" t="str">
        <f t="shared" si="151"/>
        <v>NA</v>
      </c>
      <c r="R90" s="154" t="str">
        <f t="shared" si="152"/>
        <v>NA</v>
      </c>
      <c r="S90" s="154" t="str">
        <f t="shared" si="153"/>
        <v>NA</v>
      </c>
      <c r="T90" s="154" t="str">
        <f t="shared" si="154"/>
        <v>NA</v>
      </c>
      <c r="U90" s="154" t="str">
        <f t="shared" si="155"/>
        <v>NA</v>
      </c>
      <c r="W90" s="123">
        <v>107</v>
      </c>
      <c r="X90" s="103" t="s">
        <v>251</v>
      </c>
      <c r="Y90" s="141">
        <f>SUMIFS(TME[[#All],[Member Months]],TME[[#All],[Reporting Year]],2019,TME[[#All],[Insurance Category Code]],1,TME[[#All],[Large Provider Entity Code]],W90)</f>
        <v>0</v>
      </c>
      <c r="Z90" s="152" t="str">
        <f>IFERROR(SUMIFS(TME[[#All],[Total Non-Truncated Claims Spending]],TME[[#All],[Reporting Year]],2019,TME[[#All],[Insurance Category Code]],1,TME[[#All],[Large Provider Entity Code]],W90)/Y90,"NA")</f>
        <v>NA</v>
      </c>
      <c r="AA90" s="152" t="str">
        <f>IFERROR(SUMIFS(TME[[#All],[Total Truncated Claims Spending]],TME[[#All],[Reporting Year]],2019,TME[[#All],[Insurance Category Code]],1,TME[[#All],[Large Provider Entity Code]],W90)/Y90,"NA")</f>
        <v>NA</v>
      </c>
      <c r="AB90" s="152" t="str">
        <f>IFERROR(SUMIFS(TME[[#All],[Total Non-Claims Spending]],TME[[#All],[Reporting Year]],2019,TME[[#All],[Insurance Category Code]],1,TME[[#All],[Large Provider Entity Code]],W90)/Y90,"NA")</f>
        <v>NA</v>
      </c>
      <c r="AC90" s="152" t="str">
        <f>IFERROR(SUMIFS(TME[[#All],[Total Non-Truncated Claims and Non-Claims Spending]],TME[[#All],[Reporting Year]],2019,TME[[#All],[Insurance Category Code]],1,TME[[#All],[Large Provider Entity Code]],W90)/Y90,"NA")</f>
        <v>NA</v>
      </c>
      <c r="AD90" s="152" t="str">
        <f>IFERROR(SUMIFS(TME[[#All],[Truncated Total Expenses (Total Truncated Claims Expenses + Non-Claims Expenses)]],TME[[#All],[Reporting Year]],2019,TME[[#All],[Insurance Category Code]],1,TME[[#All],[Large Provider Entity Code]],W90)/Y90,"NA")</f>
        <v>NA</v>
      </c>
      <c r="AE90" s="141">
        <f>SUMIFS(TME[[#All],[Member Months]],TME[[#All],[Reporting Year]],2020,TME[[#All],[Insurance Category Code]],1,TME[[#All],[Large Provider Entity Code]],W90)</f>
        <v>0</v>
      </c>
      <c r="AF90" s="152" t="str">
        <f>IFERROR(SUMIFS(TME[[#All],[Total Non-Truncated Claims Spending]],TME[[#All],[Reporting Year]],2020,TME[[#All],[Insurance Category Code]],1,TME[[#All],[Large Provider Entity Code]],W90)/AE90,"NA")</f>
        <v>NA</v>
      </c>
      <c r="AG90" s="152" t="str">
        <f>IFERROR(SUMIFS(TME[[#All],[Total Truncated Claims Spending]],TME[[#All],[Reporting Year]],2020,TME[[#All],[Insurance Category Code]],1,TME[[#All],[Large Provider Entity Code]],W90)/AE90,"NA")</f>
        <v>NA</v>
      </c>
      <c r="AH90" s="152" t="str">
        <f>IFERROR(SUMIFS(TME[[#All],[Total Non-Claims Spending]],TME[[#All],[Reporting Year]],2020,TME[[#All],[Insurance Category Code]],1,TME[[#All],[Large Provider Entity Code]],W90)/AE90,"NA")</f>
        <v>NA</v>
      </c>
      <c r="AI90" s="152" t="str">
        <f>IFERROR(SUMIFS(TME[[#All],[Total Non-Truncated Claims and Non-Claims Spending]],TME[[#All],[Reporting Year]],2020,TME[[#All],[Insurance Category Code]],1,TME[[#All],[Large Provider Entity Code]],W90)/AE90,"NA")</f>
        <v>NA</v>
      </c>
      <c r="AJ90" s="152" t="str">
        <f>IFERROR(SUMIFS(TME[[#All],[Truncated Total Expenses (Total Truncated Claims Expenses + Non-Claims Expenses)]],TME[[#All],[Reporting Year]],2020,TME[[#All],[Insurance Category Code]],1,TME[[#All],[Large Provider Entity Code]],W90)/AE90,"NA")</f>
        <v>NA</v>
      </c>
      <c r="AK90" s="154" t="str">
        <f t="shared" si="156"/>
        <v>NA</v>
      </c>
      <c r="AL90" s="154" t="str">
        <f t="shared" si="157"/>
        <v>NA</v>
      </c>
      <c r="AM90" s="154" t="str">
        <f t="shared" si="158"/>
        <v>NA</v>
      </c>
      <c r="AN90" s="154" t="str">
        <f t="shared" si="159"/>
        <v>NA</v>
      </c>
      <c r="AO90" s="154" t="str">
        <f t="shared" si="160"/>
        <v>NA</v>
      </c>
      <c r="AP90" s="154" t="str">
        <f t="shared" si="161"/>
        <v>NA</v>
      </c>
      <c r="AR90" s="123">
        <v>107</v>
      </c>
      <c r="AS90" s="103" t="s">
        <v>251</v>
      </c>
      <c r="AT90" s="141">
        <f>SUMIFS(TME[[#All],[Member Months]],TME[[#All],[Reporting Year]],2020,TME[[#All],[Insurance Category Code]],1,TME[[#All],[Large Provider Entity Code]],AR90)</f>
        <v>0</v>
      </c>
      <c r="AU90" s="152" t="str">
        <f>IFERROR(SUMIFS(TME[[#All],[Total Non-Truncated Claims Spending]],TME[[#All],[Reporting Year]],2020,TME[[#All],[Insurance Category Code]],1,TME[[#All],[Large Provider Entity Code]],AR90)/AT90,"NA")</f>
        <v>NA</v>
      </c>
      <c r="AV90" s="152" t="str">
        <f>IFERROR(SUMIFS(TME[[#All],[Total Truncated Claims Spending]],TME[[#All],[Reporting Year]],2020,TME[[#All],[Insurance Category Code]],1,TME[[#All],[Large Provider Entity Code]],AR90)/AT90,"NA")</f>
        <v>NA</v>
      </c>
      <c r="AW90" s="152" t="str">
        <f>IFERROR(SUMIFS(TME[[#All],[Total Non-Claims Spending]],TME[[#All],[Reporting Year]],2020,TME[[#All],[Insurance Category Code]],1,TME[[#All],[Large Provider Entity Code]],AR90)/AT90,"NA")</f>
        <v>NA</v>
      </c>
      <c r="AX90" s="152" t="str">
        <f>IFERROR(SUMIFS(TME[[#All],[Total Non-Truncated Claims and Non-Claims Spending]],TME[[#All],[Reporting Year]],2020,TME[[#All],[Insurance Category Code]],1,TME[[#All],[Large Provider Entity Code]],AR90)/AT90,"NA")</f>
        <v>NA</v>
      </c>
      <c r="AY90" s="152" t="str">
        <f>IFERROR(SUMIFS(TME[[#All],[Truncated Total Expenses (Total Truncated Claims Expenses + Non-Claims Expenses)]],TME[[#All],[Reporting Year]],2020,TME[[#All],[Insurance Category Code]],1,TME[[#All],[Large Provider Entity Code]],AR90)/AT90,"NA")</f>
        <v>NA</v>
      </c>
      <c r="AZ90" s="141">
        <f>SUMIFS(TME[[#All],[Member Months]],TME[[#All],[Reporting Year]],2021,TME[[#All],[Insurance Category Code]],1,TME[[#All],[Large Provider Entity Code]],AR90)</f>
        <v>0</v>
      </c>
      <c r="BA90" s="152" t="str">
        <f>IFERROR(SUMIFS(TME[[#All],[Total Non-Truncated Claims Spending]],TME[[#All],[Reporting Year]],2021,TME[[#All],[Insurance Category Code]],1,TME[[#All],[Large Provider Entity Code]],AR90)/AZ90,"NA")</f>
        <v>NA</v>
      </c>
      <c r="BB90" s="152" t="str">
        <f>IFERROR(SUMIFS(TME[[#All],[Total Truncated Claims Spending]],TME[[#All],[Reporting Year]],2021,TME[[#All],[Insurance Category Code]],1,TME[[#All],[Large Provider Entity Code]],AR90)/AZ90,"NA")</f>
        <v>NA</v>
      </c>
      <c r="BC90" s="152" t="str">
        <f>IFERROR(SUMIFS(TME[[#All],[Total Non-Claims Spending]],TME[[#All],[Reporting Year]],2021,TME[[#All],[Insurance Category Code]],1,TME[[#All],[Large Provider Entity Code]],AR90)/AZ90,"NA")</f>
        <v>NA</v>
      </c>
      <c r="BD90" s="152" t="str">
        <f>IFERROR(SUMIFS(TME[[#All],[Total Non-Truncated Claims and Non-Claims Spending]],TME[[#All],[Reporting Year]],2021,TME[[#All],[Insurance Category Code]],1,TME[[#All],[Large Provider Entity Code]],AR90)/AZ90,"NA")</f>
        <v>NA</v>
      </c>
      <c r="BE90" s="152" t="str">
        <f>IFERROR(SUMIFS(TME[[#All],[Truncated Total Expenses (Total Truncated Claims Expenses + Non-Claims Expenses)]],TME[[#All],[Reporting Year]],2021,TME[[#All],[Insurance Category Code]],1,TME[[#All],[Large Provider Entity Code]],AR90)/AZ90,"NA")</f>
        <v>NA</v>
      </c>
      <c r="BF90" s="154" t="str">
        <f t="shared" si="162"/>
        <v>NA</v>
      </c>
      <c r="BG90" s="154" t="str">
        <f t="shared" si="163"/>
        <v>NA</v>
      </c>
      <c r="BH90" s="154" t="str">
        <f t="shared" si="164"/>
        <v>NA</v>
      </c>
      <c r="BI90" s="154" t="str">
        <f t="shared" si="165"/>
        <v>NA</v>
      </c>
      <c r="BJ90" s="154" t="str">
        <f t="shared" si="166"/>
        <v>NA</v>
      </c>
      <c r="BK90" s="154" t="str">
        <f t="shared" si="167"/>
        <v>NA</v>
      </c>
    </row>
    <row r="91" spans="2:63" x14ac:dyDescent="0.35">
      <c r="B91" s="123">
        <v>108</v>
      </c>
      <c r="C91" s="103" t="s">
        <v>252</v>
      </c>
      <c r="D91" s="141">
        <f>SUMIFS(TME[[#All],[Member Months]],TME[[#All],[Reporting Year]],2018,TME[[#All],[Insurance Category Code]],1,TME[[#All],[Large Provider Entity Code]],B91)</f>
        <v>0</v>
      </c>
      <c r="E91" s="152" t="str">
        <f>IFERROR(SUMIFS(TME[[#All],[Total Non-Truncated Claims Spending]],TME[[#All],[Reporting Year]],2018,TME[[#All],[Insurance Category Code]],1,TME[[#All],[Large Provider Entity Code]],B91)/D91,"NA")</f>
        <v>NA</v>
      </c>
      <c r="F91" s="152" t="str">
        <f>IFERROR(SUMIFS(TME[[#All],[Total Truncated Claims Spending]],TME[[#All],[Reporting Year]],2018,TME[[#All],[Insurance Category Code]],1,TME[[#All],[Large Provider Entity Code]],B91)/D91,"NA")</f>
        <v>NA</v>
      </c>
      <c r="G91" s="152" t="str">
        <f>IFERROR(SUMIFS(TME[[#All],[Total Non-Claims Spending]],TME[[#All],[Reporting Year]],2018,TME[[#All],[Insurance Category Code]],1,TME[[#All],[Large Provider Entity Code]],B91)/D91,"NA")</f>
        <v>NA</v>
      </c>
      <c r="H91" s="152" t="str">
        <f>IFERROR(SUMIFS(TME[[#All],[Total Non-Truncated Claims and Non-Claims Spending]],TME[[#All],[Reporting Year]],2018,TME[[#All],[Insurance Category Code]],1,TME[[#All],[Large Provider Entity Code]],B91)/D91,"NA")</f>
        <v>NA</v>
      </c>
      <c r="I91" s="152" t="str">
        <f>IFERROR(SUMIFS(TME[[#All],[Truncated Total Expenses (Total Truncated Claims Expenses + Non-Claims Expenses)]],TME[[#All],[Reporting Year]],2018,TME[[#All],[Insurance Category Code]],1,TME[[#All],[Large Provider Entity Code]],B91)/D91,"NA")</f>
        <v>NA</v>
      </c>
      <c r="J91" s="141">
        <f>SUMIFS(TME[[#All],[Member Months]],TME[[#All],[Reporting Year]],2019,TME[[#All],[Insurance Category Code]],1,TME[[#All],[Large Provider Entity Code]],B91)</f>
        <v>0</v>
      </c>
      <c r="K91" s="152" t="str">
        <f>IFERROR(SUMIFS(TME[[#All],[Total Non-Truncated Claims Spending]],TME[[#All],[Reporting Year]],2019,TME[[#All],[Insurance Category Code]],1,TME[[#All],[Large Provider Entity Code]],B91)/J91,"NA")</f>
        <v>NA</v>
      </c>
      <c r="L91" s="152" t="str">
        <f>IFERROR(SUMIFS(TME[[#All],[Total Truncated Claims Spending]],TME[[#All],[Reporting Year]],2019,TME[[#All],[Insurance Category Code]],1,TME[[#All],[Large Provider Entity Code]],B91)/J91,"NA")</f>
        <v>NA</v>
      </c>
      <c r="M91" s="152" t="str">
        <f>IFERROR(SUMIFS(TME[[#All],[Total Non-Claims Spending]],TME[[#All],[Reporting Year]],2019,TME[[#All],[Insurance Category Code]],1,TME[[#All],[Large Provider Entity Code]],B91)/J91,"NA")</f>
        <v>NA</v>
      </c>
      <c r="N91" s="152" t="str">
        <f>IFERROR(SUMIFS(TME[[#All],[Total Non-Truncated Claims and Non-Claims Spending]],TME[[#All],[Reporting Year]],2019,TME[[#All],[Insurance Category Code]],1,TME[[#All],[Large Provider Entity Code]],B91)/J91,"NA")</f>
        <v>NA</v>
      </c>
      <c r="O91" s="152" t="str">
        <f>IFERROR(SUMIFS(TME[[#All],[Truncated Total Expenses (Total Truncated Claims Expenses + Non-Claims Expenses)]],TME[[#All],[Reporting Year]],2019,TME[[#All],[Insurance Category Code]],1,TME[[#All],[Large Provider Entity Code]],B91)/J91,"NA")</f>
        <v>NA</v>
      </c>
      <c r="P91" s="154" t="str">
        <f t="shared" si="150"/>
        <v>NA</v>
      </c>
      <c r="Q91" s="154" t="str">
        <f t="shared" si="151"/>
        <v>NA</v>
      </c>
      <c r="R91" s="154" t="str">
        <f t="shared" si="152"/>
        <v>NA</v>
      </c>
      <c r="S91" s="154" t="str">
        <f t="shared" si="153"/>
        <v>NA</v>
      </c>
      <c r="T91" s="154" t="str">
        <f t="shared" si="154"/>
        <v>NA</v>
      </c>
      <c r="U91" s="154" t="str">
        <f t="shared" si="155"/>
        <v>NA</v>
      </c>
      <c r="W91" s="123">
        <v>108</v>
      </c>
      <c r="X91" s="103" t="s">
        <v>252</v>
      </c>
      <c r="Y91" s="141">
        <f>SUMIFS(TME[[#All],[Member Months]],TME[[#All],[Reporting Year]],2019,TME[[#All],[Insurance Category Code]],1,TME[[#All],[Large Provider Entity Code]],W91)</f>
        <v>0</v>
      </c>
      <c r="Z91" s="152" t="str">
        <f>IFERROR(SUMIFS(TME[[#All],[Total Non-Truncated Claims Spending]],TME[[#All],[Reporting Year]],2019,TME[[#All],[Insurance Category Code]],1,TME[[#All],[Large Provider Entity Code]],W91)/Y91,"NA")</f>
        <v>NA</v>
      </c>
      <c r="AA91" s="152" t="str">
        <f>IFERROR(SUMIFS(TME[[#All],[Total Truncated Claims Spending]],TME[[#All],[Reporting Year]],2019,TME[[#All],[Insurance Category Code]],1,TME[[#All],[Large Provider Entity Code]],W91)/Y91,"NA")</f>
        <v>NA</v>
      </c>
      <c r="AB91" s="152" t="str">
        <f>IFERROR(SUMIFS(TME[[#All],[Total Non-Claims Spending]],TME[[#All],[Reporting Year]],2019,TME[[#All],[Insurance Category Code]],1,TME[[#All],[Large Provider Entity Code]],W91)/Y91,"NA")</f>
        <v>NA</v>
      </c>
      <c r="AC91" s="152" t="str">
        <f>IFERROR(SUMIFS(TME[[#All],[Total Non-Truncated Claims and Non-Claims Spending]],TME[[#All],[Reporting Year]],2019,TME[[#All],[Insurance Category Code]],1,TME[[#All],[Large Provider Entity Code]],W91)/Y91,"NA")</f>
        <v>NA</v>
      </c>
      <c r="AD91" s="152" t="str">
        <f>IFERROR(SUMIFS(TME[[#All],[Truncated Total Expenses (Total Truncated Claims Expenses + Non-Claims Expenses)]],TME[[#All],[Reporting Year]],2019,TME[[#All],[Insurance Category Code]],1,TME[[#All],[Large Provider Entity Code]],W91)/Y91,"NA")</f>
        <v>NA</v>
      </c>
      <c r="AE91" s="141">
        <f>SUMIFS(TME[[#All],[Member Months]],TME[[#All],[Reporting Year]],2020,TME[[#All],[Insurance Category Code]],1,TME[[#All],[Large Provider Entity Code]],W91)</f>
        <v>0</v>
      </c>
      <c r="AF91" s="152" t="str">
        <f>IFERROR(SUMIFS(TME[[#All],[Total Non-Truncated Claims Spending]],TME[[#All],[Reporting Year]],2020,TME[[#All],[Insurance Category Code]],1,TME[[#All],[Large Provider Entity Code]],W91)/AE91,"NA")</f>
        <v>NA</v>
      </c>
      <c r="AG91" s="152" t="str">
        <f>IFERROR(SUMIFS(TME[[#All],[Total Truncated Claims Spending]],TME[[#All],[Reporting Year]],2020,TME[[#All],[Insurance Category Code]],1,TME[[#All],[Large Provider Entity Code]],W91)/AE91,"NA")</f>
        <v>NA</v>
      </c>
      <c r="AH91" s="152" t="str">
        <f>IFERROR(SUMIFS(TME[[#All],[Total Non-Claims Spending]],TME[[#All],[Reporting Year]],2020,TME[[#All],[Insurance Category Code]],1,TME[[#All],[Large Provider Entity Code]],W91)/AE91,"NA")</f>
        <v>NA</v>
      </c>
      <c r="AI91" s="152" t="str">
        <f>IFERROR(SUMIFS(TME[[#All],[Total Non-Truncated Claims and Non-Claims Spending]],TME[[#All],[Reporting Year]],2020,TME[[#All],[Insurance Category Code]],1,TME[[#All],[Large Provider Entity Code]],W91)/AE91,"NA")</f>
        <v>NA</v>
      </c>
      <c r="AJ91" s="152" t="str">
        <f>IFERROR(SUMIFS(TME[[#All],[Truncated Total Expenses (Total Truncated Claims Expenses + Non-Claims Expenses)]],TME[[#All],[Reporting Year]],2020,TME[[#All],[Insurance Category Code]],1,TME[[#All],[Large Provider Entity Code]],W91)/AE91,"NA")</f>
        <v>NA</v>
      </c>
      <c r="AK91" s="154" t="str">
        <f t="shared" si="156"/>
        <v>NA</v>
      </c>
      <c r="AL91" s="154" t="str">
        <f t="shared" si="157"/>
        <v>NA</v>
      </c>
      <c r="AM91" s="154" t="str">
        <f t="shared" si="158"/>
        <v>NA</v>
      </c>
      <c r="AN91" s="154" t="str">
        <f t="shared" si="159"/>
        <v>NA</v>
      </c>
      <c r="AO91" s="154" t="str">
        <f t="shared" si="160"/>
        <v>NA</v>
      </c>
      <c r="AP91" s="154" t="str">
        <f t="shared" si="161"/>
        <v>NA</v>
      </c>
      <c r="AR91" s="123">
        <v>108</v>
      </c>
      <c r="AS91" s="103" t="s">
        <v>252</v>
      </c>
      <c r="AT91" s="141">
        <f>SUMIFS(TME[[#All],[Member Months]],TME[[#All],[Reporting Year]],2020,TME[[#All],[Insurance Category Code]],1,TME[[#All],[Large Provider Entity Code]],AR91)</f>
        <v>0</v>
      </c>
      <c r="AU91" s="152" t="str">
        <f>IFERROR(SUMIFS(TME[[#All],[Total Non-Truncated Claims Spending]],TME[[#All],[Reporting Year]],2020,TME[[#All],[Insurance Category Code]],1,TME[[#All],[Large Provider Entity Code]],AR91)/AT91,"NA")</f>
        <v>NA</v>
      </c>
      <c r="AV91" s="152" t="str">
        <f>IFERROR(SUMIFS(TME[[#All],[Total Truncated Claims Spending]],TME[[#All],[Reporting Year]],2020,TME[[#All],[Insurance Category Code]],1,TME[[#All],[Large Provider Entity Code]],AR91)/AT91,"NA")</f>
        <v>NA</v>
      </c>
      <c r="AW91" s="152" t="str">
        <f>IFERROR(SUMIFS(TME[[#All],[Total Non-Claims Spending]],TME[[#All],[Reporting Year]],2020,TME[[#All],[Insurance Category Code]],1,TME[[#All],[Large Provider Entity Code]],AR91)/AT91,"NA")</f>
        <v>NA</v>
      </c>
      <c r="AX91" s="152" t="str">
        <f>IFERROR(SUMIFS(TME[[#All],[Total Non-Truncated Claims and Non-Claims Spending]],TME[[#All],[Reporting Year]],2020,TME[[#All],[Insurance Category Code]],1,TME[[#All],[Large Provider Entity Code]],AR91)/AT91,"NA")</f>
        <v>NA</v>
      </c>
      <c r="AY91" s="152" t="str">
        <f>IFERROR(SUMIFS(TME[[#All],[Truncated Total Expenses (Total Truncated Claims Expenses + Non-Claims Expenses)]],TME[[#All],[Reporting Year]],2020,TME[[#All],[Insurance Category Code]],1,TME[[#All],[Large Provider Entity Code]],AR91)/AT91,"NA")</f>
        <v>NA</v>
      </c>
      <c r="AZ91" s="141">
        <f>SUMIFS(TME[[#All],[Member Months]],TME[[#All],[Reporting Year]],2021,TME[[#All],[Insurance Category Code]],1,TME[[#All],[Large Provider Entity Code]],AR91)</f>
        <v>0</v>
      </c>
      <c r="BA91" s="152" t="str">
        <f>IFERROR(SUMIFS(TME[[#All],[Total Non-Truncated Claims Spending]],TME[[#All],[Reporting Year]],2021,TME[[#All],[Insurance Category Code]],1,TME[[#All],[Large Provider Entity Code]],AR91)/AZ91,"NA")</f>
        <v>NA</v>
      </c>
      <c r="BB91" s="152" t="str">
        <f>IFERROR(SUMIFS(TME[[#All],[Total Truncated Claims Spending]],TME[[#All],[Reporting Year]],2021,TME[[#All],[Insurance Category Code]],1,TME[[#All],[Large Provider Entity Code]],AR91)/AZ91,"NA")</f>
        <v>NA</v>
      </c>
      <c r="BC91" s="152" t="str">
        <f>IFERROR(SUMIFS(TME[[#All],[Total Non-Claims Spending]],TME[[#All],[Reporting Year]],2021,TME[[#All],[Insurance Category Code]],1,TME[[#All],[Large Provider Entity Code]],AR91)/AZ91,"NA")</f>
        <v>NA</v>
      </c>
      <c r="BD91" s="152" t="str">
        <f>IFERROR(SUMIFS(TME[[#All],[Total Non-Truncated Claims and Non-Claims Spending]],TME[[#All],[Reporting Year]],2021,TME[[#All],[Insurance Category Code]],1,TME[[#All],[Large Provider Entity Code]],AR91)/AZ91,"NA")</f>
        <v>NA</v>
      </c>
      <c r="BE91" s="152" t="str">
        <f>IFERROR(SUMIFS(TME[[#All],[Truncated Total Expenses (Total Truncated Claims Expenses + Non-Claims Expenses)]],TME[[#All],[Reporting Year]],2021,TME[[#All],[Insurance Category Code]],1,TME[[#All],[Large Provider Entity Code]],AR91)/AZ91,"NA")</f>
        <v>NA</v>
      </c>
      <c r="BF91" s="154" t="str">
        <f t="shared" si="162"/>
        <v>NA</v>
      </c>
      <c r="BG91" s="154" t="str">
        <f t="shared" si="163"/>
        <v>NA</v>
      </c>
      <c r="BH91" s="154" t="str">
        <f t="shared" si="164"/>
        <v>NA</v>
      </c>
      <c r="BI91" s="154" t="str">
        <f t="shared" si="165"/>
        <v>NA</v>
      </c>
      <c r="BJ91" s="154" t="str">
        <f t="shared" si="166"/>
        <v>NA</v>
      </c>
      <c r="BK91" s="154" t="str">
        <f t="shared" si="167"/>
        <v>NA</v>
      </c>
    </row>
    <row r="92" spans="2:63" x14ac:dyDescent="0.35">
      <c r="B92" s="123">
        <v>109</v>
      </c>
      <c r="C92" s="103" t="s">
        <v>253</v>
      </c>
      <c r="D92" s="141">
        <f>SUMIFS(TME[[#All],[Member Months]],TME[[#All],[Reporting Year]],2018,TME[[#All],[Insurance Category Code]],1,TME[[#All],[Large Provider Entity Code]],B92)</f>
        <v>0</v>
      </c>
      <c r="E92" s="152" t="str">
        <f>IFERROR(SUMIFS(TME[[#All],[Total Non-Truncated Claims Spending]],TME[[#All],[Reporting Year]],2018,TME[[#All],[Insurance Category Code]],1,TME[[#All],[Large Provider Entity Code]],B92)/D92,"NA")</f>
        <v>NA</v>
      </c>
      <c r="F92" s="152" t="str">
        <f>IFERROR(SUMIFS(TME[[#All],[Total Truncated Claims Spending]],TME[[#All],[Reporting Year]],2018,TME[[#All],[Insurance Category Code]],1,TME[[#All],[Large Provider Entity Code]],B92)/D92,"NA")</f>
        <v>NA</v>
      </c>
      <c r="G92" s="152" t="str">
        <f>IFERROR(SUMIFS(TME[[#All],[Total Non-Claims Spending]],TME[[#All],[Reporting Year]],2018,TME[[#All],[Insurance Category Code]],1,TME[[#All],[Large Provider Entity Code]],B92)/D92,"NA")</f>
        <v>NA</v>
      </c>
      <c r="H92" s="152" t="str">
        <f>IFERROR(SUMIFS(TME[[#All],[Total Non-Truncated Claims and Non-Claims Spending]],TME[[#All],[Reporting Year]],2018,TME[[#All],[Insurance Category Code]],1,TME[[#All],[Large Provider Entity Code]],B92)/D92,"NA")</f>
        <v>NA</v>
      </c>
      <c r="I92" s="152" t="str">
        <f>IFERROR(SUMIFS(TME[[#All],[Truncated Total Expenses (Total Truncated Claims Expenses + Non-Claims Expenses)]],TME[[#All],[Reporting Year]],2018,TME[[#All],[Insurance Category Code]],1,TME[[#All],[Large Provider Entity Code]],B92)/D92,"NA")</f>
        <v>NA</v>
      </c>
      <c r="J92" s="141">
        <f>SUMIFS(TME[[#All],[Member Months]],TME[[#All],[Reporting Year]],2019,TME[[#All],[Insurance Category Code]],1,TME[[#All],[Large Provider Entity Code]],B92)</f>
        <v>0</v>
      </c>
      <c r="K92" s="152" t="str">
        <f>IFERROR(SUMIFS(TME[[#All],[Total Non-Truncated Claims Spending]],TME[[#All],[Reporting Year]],2019,TME[[#All],[Insurance Category Code]],1,TME[[#All],[Large Provider Entity Code]],B92)/J92,"NA")</f>
        <v>NA</v>
      </c>
      <c r="L92" s="152" t="str">
        <f>IFERROR(SUMIFS(TME[[#All],[Total Truncated Claims Spending]],TME[[#All],[Reporting Year]],2019,TME[[#All],[Insurance Category Code]],1,TME[[#All],[Large Provider Entity Code]],B92)/J92,"NA")</f>
        <v>NA</v>
      </c>
      <c r="M92" s="152" t="str">
        <f>IFERROR(SUMIFS(TME[[#All],[Total Non-Claims Spending]],TME[[#All],[Reporting Year]],2019,TME[[#All],[Insurance Category Code]],1,TME[[#All],[Large Provider Entity Code]],B92)/J92,"NA")</f>
        <v>NA</v>
      </c>
      <c r="N92" s="152" t="str">
        <f>IFERROR(SUMIFS(TME[[#All],[Total Non-Truncated Claims and Non-Claims Spending]],TME[[#All],[Reporting Year]],2019,TME[[#All],[Insurance Category Code]],1,TME[[#All],[Large Provider Entity Code]],B92)/J92,"NA")</f>
        <v>NA</v>
      </c>
      <c r="O92" s="152" t="str">
        <f>IFERROR(SUMIFS(TME[[#All],[Truncated Total Expenses (Total Truncated Claims Expenses + Non-Claims Expenses)]],TME[[#All],[Reporting Year]],2019,TME[[#All],[Insurance Category Code]],1,TME[[#All],[Large Provider Entity Code]],B92)/J92,"NA")</f>
        <v>NA</v>
      </c>
      <c r="P92" s="154" t="str">
        <f t="shared" si="150"/>
        <v>NA</v>
      </c>
      <c r="Q92" s="154" t="str">
        <f t="shared" si="151"/>
        <v>NA</v>
      </c>
      <c r="R92" s="154" t="str">
        <f t="shared" si="152"/>
        <v>NA</v>
      </c>
      <c r="S92" s="154" t="str">
        <f t="shared" si="153"/>
        <v>NA</v>
      </c>
      <c r="T92" s="154" t="str">
        <f t="shared" si="154"/>
        <v>NA</v>
      </c>
      <c r="U92" s="154" t="str">
        <f t="shared" si="155"/>
        <v>NA</v>
      </c>
      <c r="W92" s="123">
        <v>109</v>
      </c>
      <c r="X92" s="103" t="s">
        <v>253</v>
      </c>
      <c r="Y92" s="141">
        <f>SUMIFS(TME[[#All],[Member Months]],TME[[#All],[Reporting Year]],2019,TME[[#All],[Insurance Category Code]],1,TME[[#All],[Large Provider Entity Code]],W92)</f>
        <v>0</v>
      </c>
      <c r="Z92" s="152" t="str">
        <f>IFERROR(SUMIFS(TME[[#All],[Total Non-Truncated Claims Spending]],TME[[#All],[Reporting Year]],2019,TME[[#All],[Insurance Category Code]],1,TME[[#All],[Large Provider Entity Code]],W92)/Y92,"NA")</f>
        <v>NA</v>
      </c>
      <c r="AA92" s="152" t="str">
        <f>IFERROR(SUMIFS(TME[[#All],[Total Truncated Claims Spending]],TME[[#All],[Reporting Year]],2019,TME[[#All],[Insurance Category Code]],1,TME[[#All],[Large Provider Entity Code]],W92)/Y92,"NA")</f>
        <v>NA</v>
      </c>
      <c r="AB92" s="152" t="str">
        <f>IFERROR(SUMIFS(TME[[#All],[Total Non-Claims Spending]],TME[[#All],[Reporting Year]],2019,TME[[#All],[Insurance Category Code]],1,TME[[#All],[Large Provider Entity Code]],W92)/Y92,"NA")</f>
        <v>NA</v>
      </c>
      <c r="AC92" s="152" t="str">
        <f>IFERROR(SUMIFS(TME[[#All],[Total Non-Truncated Claims and Non-Claims Spending]],TME[[#All],[Reporting Year]],2019,TME[[#All],[Insurance Category Code]],1,TME[[#All],[Large Provider Entity Code]],W92)/Y92,"NA")</f>
        <v>NA</v>
      </c>
      <c r="AD92" s="152" t="str">
        <f>IFERROR(SUMIFS(TME[[#All],[Truncated Total Expenses (Total Truncated Claims Expenses + Non-Claims Expenses)]],TME[[#All],[Reporting Year]],2019,TME[[#All],[Insurance Category Code]],1,TME[[#All],[Large Provider Entity Code]],W92)/Y92,"NA")</f>
        <v>NA</v>
      </c>
      <c r="AE92" s="141">
        <f>SUMIFS(TME[[#All],[Member Months]],TME[[#All],[Reporting Year]],2020,TME[[#All],[Insurance Category Code]],1,TME[[#All],[Large Provider Entity Code]],W92)</f>
        <v>0</v>
      </c>
      <c r="AF92" s="152" t="str">
        <f>IFERROR(SUMIFS(TME[[#All],[Total Non-Truncated Claims Spending]],TME[[#All],[Reporting Year]],2020,TME[[#All],[Insurance Category Code]],1,TME[[#All],[Large Provider Entity Code]],W92)/AE92,"NA")</f>
        <v>NA</v>
      </c>
      <c r="AG92" s="152" t="str">
        <f>IFERROR(SUMIFS(TME[[#All],[Total Truncated Claims Spending]],TME[[#All],[Reporting Year]],2020,TME[[#All],[Insurance Category Code]],1,TME[[#All],[Large Provider Entity Code]],W92)/AE92,"NA")</f>
        <v>NA</v>
      </c>
      <c r="AH92" s="152" t="str">
        <f>IFERROR(SUMIFS(TME[[#All],[Total Non-Claims Spending]],TME[[#All],[Reporting Year]],2020,TME[[#All],[Insurance Category Code]],1,TME[[#All],[Large Provider Entity Code]],W92)/AE92,"NA")</f>
        <v>NA</v>
      </c>
      <c r="AI92" s="152" t="str">
        <f>IFERROR(SUMIFS(TME[[#All],[Total Non-Truncated Claims and Non-Claims Spending]],TME[[#All],[Reporting Year]],2020,TME[[#All],[Insurance Category Code]],1,TME[[#All],[Large Provider Entity Code]],W92)/AE92,"NA")</f>
        <v>NA</v>
      </c>
      <c r="AJ92" s="152" t="str">
        <f>IFERROR(SUMIFS(TME[[#All],[Truncated Total Expenses (Total Truncated Claims Expenses + Non-Claims Expenses)]],TME[[#All],[Reporting Year]],2020,TME[[#All],[Insurance Category Code]],1,TME[[#All],[Large Provider Entity Code]],W92)/AE92,"NA")</f>
        <v>NA</v>
      </c>
      <c r="AK92" s="154" t="str">
        <f t="shared" si="156"/>
        <v>NA</v>
      </c>
      <c r="AL92" s="154" t="str">
        <f t="shared" si="157"/>
        <v>NA</v>
      </c>
      <c r="AM92" s="154" t="str">
        <f t="shared" si="158"/>
        <v>NA</v>
      </c>
      <c r="AN92" s="154" t="str">
        <f t="shared" si="159"/>
        <v>NA</v>
      </c>
      <c r="AO92" s="154" t="str">
        <f t="shared" si="160"/>
        <v>NA</v>
      </c>
      <c r="AP92" s="154" t="str">
        <f t="shared" si="161"/>
        <v>NA</v>
      </c>
      <c r="AR92" s="123">
        <v>109</v>
      </c>
      <c r="AS92" s="103" t="s">
        <v>253</v>
      </c>
      <c r="AT92" s="141">
        <f>SUMIFS(TME[[#All],[Member Months]],TME[[#All],[Reporting Year]],2020,TME[[#All],[Insurance Category Code]],1,TME[[#All],[Large Provider Entity Code]],AR92)</f>
        <v>0</v>
      </c>
      <c r="AU92" s="152" t="str">
        <f>IFERROR(SUMIFS(TME[[#All],[Total Non-Truncated Claims Spending]],TME[[#All],[Reporting Year]],2020,TME[[#All],[Insurance Category Code]],1,TME[[#All],[Large Provider Entity Code]],AR92)/AT92,"NA")</f>
        <v>NA</v>
      </c>
      <c r="AV92" s="152" t="str">
        <f>IFERROR(SUMIFS(TME[[#All],[Total Truncated Claims Spending]],TME[[#All],[Reporting Year]],2020,TME[[#All],[Insurance Category Code]],1,TME[[#All],[Large Provider Entity Code]],AR92)/AT92,"NA")</f>
        <v>NA</v>
      </c>
      <c r="AW92" s="152" t="str">
        <f>IFERROR(SUMIFS(TME[[#All],[Total Non-Claims Spending]],TME[[#All],[Reporting Year]],2020,TME[[#All],[Insurance Category Code]],1,TME[[#All],[Large Provider Entity Code]],AR92)/AT92,"NA")</f>
        <v>NA</v>
      </c>
      <c r="AX92" s="152" t="str">
        <f>IFERROR(SUMIFS(TME[[#All],[Total Non-Truncated Claims and Non-Claims Spending]],TME[[#All],[Reporting Year]],2020,TME[[#All],[Insurance Category Code]],1,TME[[#All],[Large Provider Entity Code]],AR92)/AT92,"NA")</f>
        <v>NA</v>
      </c>
      <c r="AY92" s="152" t="str">
        <f>IFERROR(SUMIFS(TME[[#All],[Truncated Total Expenses (Total Truncated Claims Expenses + Non-Claims Expenses)]],TME[[#All],[Reporting Year]],2020,TME[[#All],[Insurance Category Code]],1,TME[[#All],[Large Provider Entity Code]],AR92)/AT92,"NA")</f>
        <v>NA</v>
      </c>
      <c r="AZ92" s="141">
        <f>SUMIFS(TME[[#All],[Member Months]],TME[[#All],[Reporting Year]],2021,TME[[#All],[Insurance Category Code]],1,TME[[#All],[Large Provider Entity Code]],AR92)</f>
        <v>0</v>
      </c>
      <c r="BA92" s="152" t="str">
        <f>IFERROR(SUMIFS(TME[[#All],[Total Non-Truncated Claims Spending]],TME[[#All],[Reporting Year]],2021,TME[[#All],[Insurance Category Code]],1,TME[[#All],[Large Provider Entity Code]],AR92)/AZ92,"NA")</f>
        <v>NA</v>
      </c>
      <c r="BB92" s="152" t="str">
        <f>IFERROR(SUMIFS(TME[[#All],[Total Truncated Claims Spending]],TME[[#All],[Reporting Year]],2021,TME[[#All],[Insurance Category Code]],1,TME[[#All],[Large Provider Entity Code]],AR92)/AZ92,"NA")</f>
        <v>NA</v>
      </c>
      <c r="BC92" s="152" t="str">
        <f>IFERROR(SUMIFS(TME[[#All],[Total Non-Claims Spending]],TME[[#All],[Reporting Year]],2021,TME[[#All],[Insurance Category Code]],1,TME[[#All],[Large Provider Entity Code]],AR92)/AZ92,"NA")</f>
        <v>NA</v>
      </c>
      <c r="BD92" s="152" t="str">
        <f>IFERROR(SUMIFS(TME[[#All],[Total Non-Truncated Claims and Non-Claims Spending]],TME[[#All],[Reporting Year]],2021,TME[[#All],[Insurance Category Code]],1,TME[[#All],[Large Provider Entity Code]],AR92)/AZ92,"NA")</f>
        <v>NA</v>
      </c>
      <c r="BE92" s="152" t="str">
        <f>IFERROR(SUMIFS(TME[[#All],[Truncated Total Expenses (Total Truncated Claims Expenses + Non-Claims Expenses)]],TME[[#All],[Reporting Year]],2021,TME[[#All],[Insurance Category Code]],1,TME[[#All],[Large Provider Entity Code]],AR92)/AZ92,"NA")</f>
        <v>NA</v>
      </c>
      <c r="BF92" s="154" t="str">
        <f t="shared" si="162"/>
        <v>NA</v>
      </c>
      <c r="BG92" s="154" t="str">
        <f t="shared" si="163"/>
        <v>NA</v>
      </c>
      <c r="BH92" s="154" t="str">
        <f t="shared" si="164"/>
        <v>NA</v>
      </c>
      <c r="BI92" s="154" t="str">
        <f t="shared" si="165"/>
        <v>NA</v>
      </c>
      <c r="BJ92" s="154" t="str">
        <f t="shared" si="166"/>
        <v>NA</v>
      </c>
      <c r="BK92" s="154" t="str">
        <f t="shared" si="167"/>
        <v>NA</v>
      </c>
    </row>
    <row r="93" spans="2:63" x14ac:dyDescent="0.35">
      <c r="B93" s="123">
        <v>110</v>
      </c>
      <c r="C93" s="103" t="s">
        <v>294</v>
      </c>
      <c r="D93" s="141">
        <f>SUMIFS(TME[[#All],[Member Months]],TME[[#All],[Reporting Year]],2018,TME[[#All],[Insurance Category Code]],1,TME[[#All],[Large Provider Entity Code]],B93)</f>
        <v>0</v>
      </c>
      <c r="E93" s="152" t="str">
        <f>IFERROR(SUMIFS(TME[[#All],[Total Non-Truncated Claims Spending]],TME[[#All],[Reporting Year]],2018,TME[[#All],[Insurance Category Code]],1,TME[[#All],[Large Provider Entity Code]],B93)/D93,"NA")</f>
        <v>NA</v>
      </c>
      <c r="F93" s="152" t="str">
        <f>IFERROR(SUMIFS(TME[[#All],[Total Truncated Claims Spending]],TME[[#All],[Reporting Year]],2018,TME[[#All],[Insurance Category Code]],1,TME[[#All],[Large Provider Entity Code]],B93)/D93,"NA")</f>
        <v>NA</v>
      </c>
      <c r="G93" s="152" t="str">
        <f>IFERROR(SUMIFS(TME[[#All],[Total Non-Claims Spending]],TME[[#All],[Reporting Year]],2018,TME[[#All],[Insurance Category Code]],1,TME[[#All],[Large Provider Entity Code]],B93)/D93,"NA")</f>
        <v>NA</v>
      </c>
      <c r="H93" s="152" t="str">
        <f>IFERROR(SUMIFS(TME[[#All],[Total Non-Truncated Claims and Non-Claims Spending]],TME[[#All],[Reporting Year]],2018,TME[[#All],[Insurance Category Code]],1,TME[[#All],[Large Provider Entity Code]],B93)/D93,"NA")</f>
        <v>NA</v>
      </c>
      <c r="I93" s="152" t="str">
        <f>IFERROR(SUMIFS(TME[[#All],[Truncated Total Expenses (Total Truncated Claims Expenses + Non-Claims Expenses)]],TME[[#All],[Reporting Year]],2018,TME[[#All],[Insurance Category Code]],1,TME[[#All],[Large Provider Entity Code]],B93)/D93,"NA")</f>
        <v>NA</v>
      </c>
      <c r="J93" s="141">
        <f>SUMIFS(TME[[#All],[Member Months]],TME[[#All],[Reporting Year]],2019,TME[[#All],[Insurance Category Code]],1,TME[[#All],[Large Provider Entity Code]],B93)</f>
        <v>0</v>
      </c>
      <c r="K93" s="152" t="str">
        <f>IFERROR(SUMIFS(TME[[#All],[Total Non-Truncated Claims Spending]],TME[[#All],[Reporting Year]],2019,TME[[#All],[Insurance Category Code]],1,TME[[#All],[Large Provider Entity Code]],B93)/J93,"NA")</f>
        <v>NA</v>
      </c>
      <c r="L93" s="152" t="str">
        <f>IFERROR(SUMIFS(TME[[#All],[Total Truncated Claims Spending]],TME[[#All],[Reporting Year]],2019,TME[[#All],[Insurance Category Code]],1,TME[[#All],[Large Provider Entity Code]],B93)/J93,"NA")</f>
        <v>NA</v>
      </c>
      <c r="M93" s="152" t="str">
        <f>IFERROR(SUMIFS(TME[[#All],[Total Non-Claims Spending]],TME[[#All],[Reporting Year]],2019,TME[[#All],[Insurance Category Code]],1,TME[[#All],[Large Provider Entity Code]],B93)/J93,"NA")</f>
        <v>NA</v>
      </c>
      <c r="N93" s="152" t="str">
        <f>IFERROR(SUMIFS(TME[[#All],[Total Non-Truncated Claims and Non-Claims Spending]],TME[[#All],[Reporting Year]],2019,TME[[#All],[Insurance Category Code]],1,TME[[#All],[Large Provider Entity Code]],B93)/J93,"NA")</f>
        <v>NA</v>
      </c>
      <c r="O93" s="152" t="str">
        <f>IFERROR(SUMIFS(TME[[#All],[Truncated Total Expenses (Total Truncated Claims Expenses + Non-Claims Expenses)]],TME[[#All],[Reporting Year]],2019,TME[[#All],[Insurance Category Code]],1,TME[[#All],[Large Provider Entity Code]],B93)/J93,"NA")</f>
        <v>NA</v>
      </c>
      <c r="P93" s="154" t="str">
        <f t="shared" si="150"/>
        <v>NA</v>
      </c>
      <c r="Q93" s="154" t="str">
        <f t="shared" si="151"/>
        <v>NA</v>
      </c>
      <c r="R93" s="154" t="str">
        <f t="shared" si="152"/>
        <v>NA</v>
      </c>
      <c r="S93" s="154" t="str">
        <f t="shared" si="153"/>
        <v>NA</v>
      </c>
      <c r="T93" s="154" t="str">
        <f t="shared" si="154"/>
        <v>NA</v>
      </c>
      <c r="U93" s="154" t="str">
        <f t="shared" si="155"/>
        <v>NA</v>
      </c>
      <c r="W93" s="123">
        <v>110</v>
      </c>
      <c r="X93" s="103" t="s">
        <v>294</v>
      </c>
      <c r="Y93" s="141">
        <f>SUMIFS(TME[[#All],[Member Months]],TME[[#All],[Reporting Year]],2019,TME[[#All],[Insurance Category Code]],1,TME[[#All],[Large Provider Entity Code]],W93)</f>
        <v>0</v>
      </c>
      <c r="Z93" s="152" t="str">
        <f>IFERROR(SUMIFS(TME[[#All],[Total Non-Truncated Claims Spending]],TME[[#All],[Reporting Year]],2019,TME[[#All],[Insurance Category Code]],1,TME[[#All],[Large Provider Entity Code]],W93)/Y93,"NA")</f>
        <v>NA</v>
      </c>
      <c r="AA93" s="152" t="str">
        <f>IFERROR(SUMIFS(TME[[#All],[Total Truncated Claims Spending]],TME[[#All],[Reporting Year]],2019,TME[[#All],[Insurance Category Code]],1,TME[[#All],[Large Provider Entity Code]],W93)/Y93,"NA")</f>
        <v>NA</v>
      </c>
      <c r="AB93" s="152" t="str">
        <f>IFERROR(SUMIFS(TME[[#All],[Total Non-Claims Spending]],TME[[#All],[Reporting Year]],2019,TME[[#All],[Insurance Category Code]],1,TME[[#All],[Large Provider Entity Code]],W93)/Y93,"NA")</f>
        <v>NA</v>
      </c>
      <c r="AC93" s="152" t="str">
        <f>IFERROR(SUMIFS(TME[[#All],[Total Non-Truncated Claims and Non-Claims Spending]],TME[[#All],[Reporting Year]],2019,TME[[#All],[Insurance Category Code]],1,TME[[#All],[Large Provider Entity Code]],W93)/Y93,"NA")</f>
        <v>NA</v>
      </c>
      <c r="AD93" s="152" t="str">
        <f>IFERROR(SUMIFS(TME[[#All],[Truncated Total Expenses (Total Truncated Claims Expenses + Non-Claims Expenses)]],TME[[#All],[Reporting Year]],2019,TME[[#All],[Insurance Category Code]],1,TME[[#All],[Large Provider Entity Code]],W93)/Y93,"NA")</f>
        <v>NA</v>
      </c>
      <c r="AE93" s="141">
        <f>SUMIFS(TME[[#All],[Member Months]],TME[[#All],[Reporting Year]],2020,TME[[#All],[Insurance Category Code]],1,TME[[#All],[Large Provider Entity Code]],W93)</f>
        <v>0</v>
      </c>
      <c r="AF93" s="152" t="str">
        <f>IFERROR(SUMIFS(TME[[#All],[Total Non-Truncated Claims Spending]],TME[[#All],[Reporting Year]],2020,TME[[#All],[Insurance Category Code]],1,TME[[#All],[Large Provider Entity Code]],W93)/AE93,"NA")</f>
        <v>NA</v>
      </c>
      <c r="AG93" s="152" t="str">
        <f>IFERROR(SUMIFS(TME[[#All],[Total Truncated Claims Spending]],TME[[#All],[Reporting Year]],2020,TME[[#All],[Insurance Category Code]],1,TME[[#All],[Large Provider Entity Code]],W93)/AE93,"NA")</f>
        <v>NA</v>
      </c>
      <c r="AH93" s="152" t="str">
        <f>IFERROR(SUMIFS(TME[[#All],[Total Non-Claims Spending]],TME[[#All],[Reporting Year]],2020,TME[[#All],[Insurance Category Code]],1,TME[[#All],[Large Provider Entity Code]],W93)/AE93,"NA")</f>
        <v>NA</v>
      </c>
      <c r="AI93" s="152" t="str">
        <f>IFERROR(SUMIFS(TME[[#All],[Total Non-Truncated Claims and Non-Claims Spending]],TME[[#All],[Reporting Year]],2020,TME[[#All],[Insurance Category Code]],1,TME[[#All],[Large Provider Entity Code]],W93)/AE93,"NA")</f>
        <v>NA</v>
      </c>
      <c r="AJ93" s="152" t="str">
        <f>IFERROR(SUMIFS(TME[[#All],[Truncated Total Expenses (Total Truncated Claims Expenses + Non-Claims Expenses)]],TME[[#All],[Reporting Year]],2020,TME[[#All],[Insurance Category Code]],1,TME[[#All],[Large Provider Entity Code]],W93)/AE93,"NA")</f>
        <v>NA</v>
      </c>
      <c r="AK93" s="154" t="str">
        <f t="shared" si="156"/>
        <v>NA</v>
      </c>
      <c r="AL93" s="154" t="str">
        <f t="shared" si="157"/>
        <v>NA</v>
      </c>
      <c r="AM93" s="154" t="str">
        <f t="shared" si="158"/>
        <v>NA</v>
      </c>
      <c r="AN93" s="154" t="str">
        <f t="shared" si="159"/>
        <v>NA</v>
      </c>
      <c r="AO93" s="154" t="str">
        <f t="shared" si="160"/>
        <v>NA</v>
      </c>
      <c r="AP93" s="154" t="str">
        <f t="shared" si="161"/>
        <v>NA</v>
      </c>
      <c r="AR93" s="123">
        <v>110</v>
      </c>
      <c r="AS93" s="103" t="s">
        <v>294</v>
      </c>
      <c r="AT93" s="141">
        <f>SUMIFS(TME[[#All],[Member Months]],TME[[#All],[Reporting Year]],2020,TME[[#All],[Insurance Category Code]],1,TME[[#All],[Large Provider Entity Code]],AR93)</f>
        <v>0</v>
      </c>
      <c r="AU93" s="152" t="str">
        <f>IFERROR(SUMIFS(TME[[#All],[Total Non-Truncated Claims Spending]],TME[[#All],[Reporting Year]],2020,TME[[#All],[Insurance Category Code]],1,TME[[#All],[Large Provider Entity Code]],AR93)/AT93,"NA")</f>
        <v>NA</v>
      </c>
      <c r="AV93" s="152" t="str">
        <f>IFERROR(SUMIFS(TME[[#All],[Total Truncated Claims Spending]],TME[[#All],[Reporting Year]],2020,TME[[#All],[Insurance Category Code]],1,TME[[#All],[Large Provider Entity Code]],AR93)/AT93,"NA")</f>
        <v>NA</v>
      </c>
      <c r="AW93" s="152" t="str">
        <f>IFERROR(SUMIFS(TME[[#All],[Total Non-Claims Spending]],TME[[#All],[Reporting Year]],2020,TME[[#All],[Insurance Category Code]],1,TME[[#All],[Large Provider Entity Code]],AR93)/AT93,"NA")</f>
        <v>NA</v>
      </c>
      <c r="AX93" s="152" t="str">
        <f>IFERROR(SUMIFS(TME[[#All],[Total Non-Truncated Claims and Non-Claims Spending]],TME[[#All],[Reporting Year]],2020,TME[[#All],[Insurance Category Code]],1,TME[[#All],[Large Provider Entity Code]],AR93)/AT93,"NA")</f>
        <v>NA</v>
      </c>
      <c r="AY93" s="152" t="str">
        <f>IFERROR(SUMIFS(TME[[#All],[Truncated Total Expenses (Total Truncated Claims Expenses + Non-Claims Expenses)]],TME[[#All],[Reporting Year]],2020,TME[[#All],[Insurance Category Code]],1,TME[[#All],[Large Provider Entity Code]],AR93)/AT93,"NA")</f>
        <v>NA</v>
      </c>
      <c r="AZ93" s="141">
        <f>SUMIFS(TME[[#All],[Member Months]],TME[[#All],[Reporting Year]],2021,TME[[#All],[Insurance Category Code]],1,TME[[#All],[Large Provider Entity Code]],AR93)</f>
        <v>0</v>
      </c>
      <c r="BA93" s="152" t="str">
        <f>IFERROR(SUMIFS(TME[[#All],[Total Non-Truncated Claims Spending]],TME[[#All],[Reporting Year]],2021,TME[[#All],[Insurance Category Code]],1,TME[[#All],[Large Provider Entity Code]],AR93)/AZ93,"NA")</f>
        <v>NA</v>
      </c>
      <c r="BB93" s="152" t="str">
        <f>IFERROR(SUMIFS(TME[[#All],[Total Truncated Claims Spending]],TME[[#All],[Reporting Year]],2021,TME[[#All],[Insurance Category Code]],1,TME[[#All],[Large Provider Entity Code]],AR93)/AZ93,"NA")</f>
        <v>NA</v>
      </c>
      <c r="BC93" s="152" t="str">
        <f>IFERROR(SUMIFS(TME[[#All],[Total Non-Claims Spending]],TME[[#All],[Reporting Year]],2021,TME[[#All],[Insurance Category Code]],1,TME[[#All],[Large Provider Entity Code]],AR93)/AZ93,"NA")</f>
        <v>NA</v>
      </c>
      <c r="BD93" s="152" t="str">
        <f>IFERROR(SUMIFS(TME[[#All],[Total Non-Truncated Claims and Non-Claims Spending]],TME[[#All],[Reporting Year]],2021,TME[[#All],[Insurance Category Code]],1,TME[[#All],[Large Provider Entity Code]],AR93)/AZ93,"NA")</f>
        <v>NA</v>
      </c>
      <c r="BE93" s="152" t="str">
        <f>IFERROR(SUMIFS(TME[[#All],[Truncated Total Expenses (Total Truncated Claims Expenses + Non-Claims Expenses)]],TME[[#All],[Reporting Year]],2021,TME[[#All],[Insurance Category Code]],1,TME[[#All],[Large Provider Entity Code]],AR93)/AZ93,"NA")</f>
        <v>NA</v>
      </c>
      <c r="BF93" s="154" t="str">
        <f t="shared" si="162"/>
        <v>NA</v>
      </c>
      <c r="BG93" s="154" t="str">
        <f t="shared" si="163"/>
        <v>NA</v>
      </c>
      <c r="BH93" s="154" t="str">
        <f t="shared" si="164"/>
        <v>NA</v>
      </c>
      <c r="BI93" s="154" t="str">
        <f t="shared" si="165"/>
        <v>NA</v>
      </c>
      <c r="BJ93" s="154" t="str">
        <f t="shared" si="166"/>
        <v>NA</v>
      </c>
      <c r="BK93" s="154" t="str">
        <f t="shared" si="167"/>
        <v>NA</v>
      </c>
    </row>
    <row r="94" spans="2:63" x14ac:dyDescent="0.35">
      <c r="B94" s="123">
        <v>111</v>
      </c>
      <c r="C94" s="103" t="s">
        <v>254</v>
      </c>
      <c r="D94" s="141">
        <f>SUMIFS(TME[[#All],[Member Months]],TME[[#All],[Reporting Year]],2018,TME[[#All],[Insurance Category Code]],1,TME[[#All],[Large Provider Entity Code]],B94)</f>
        <v>0</v>
      </c>
      <c r="E94" s="152" t="str">
        <f>IFERROR(SUMIFS(TME[[#All],[Total Non-Truncated Claims Spending]],TME[[#All],[Reporting Year]],2018,TME[[#All],[Insurance Category Code]],1,TME[[#All],[Large Provider Entity Code]],B94)/D94,"NA")</f>
        <v>NA</v>
      </c>
      <c r="F94" s="152" t="str">
        <f>IFERROR(SUMIFS(TME[[#All],[Total Truncated Claims Spending]],TME[[#All],[Reporting Year]],2018,TME[[#All],[Insurance Category Code]],1,TME[[#All],[Large Provider Entity Code]],B94)/D94,"NA")</f>
        <v>NA</v>
      </c>
      <c r="G94" s="152" t="str">
        <f>IFERROR(SUMIFS(TME[[#All],[Total Non-Claims Spending]],TME[[#All],[Reporting Year]],2018,TME[[#All],[Insurance Category Code]],1,TME[[#All],[Large Provider Entity Code]],B94)/D94,"NA")</f>
        <v>NA</v>
      </c>
      <c r="H94" s="152" t="str">
        <f>IFERROR(SUMIFS(TME[[#All],[Total Non-Truncated Claims and Non-Claims Spending]],TME[[#All],[Reporting Year]],2018,TME[[#All],[Insurance Category Code]],1,TME[[#All],[Large Provider Entity Code]],B94)/D94,"NA")</f>
        <v>NA</v>
      </c>
      <c r="I94" s="152" t="str">
        <f>IFERROR(SUMIFS(TME[[#All],[Truncated Total Expenses (Total Truncated Claims Expenses + Non-Claims Expenses)]],TME[[#All],[Reporting Year]],2018,TME[[#All],[Insurance Category Code]],1,TME[[#All],[Large Provider Entity Code]],B94)/D94,"NA")</f>
        <v>NA</v>
      </c>
      <c r="J94" s="141">
        <f>SUMIFS(TME[[#All],[Member Months]],TME[[#All],[Reporting Year]],2019,TME[[#All],[Insurance Category Code]],1,TME[[#All],[Large Provider Entity Code]],B94)</f>
        <v>0</v>
      </c>
      <c r="K94" s="152" t="str">
        <f>IFERROR(SUMIFS(TME[[#All],[Total Non-Truncated Claims Spending]],TME[[#All],[Reporting Year]],2019,TME[[#All],[Insurance Category Code]],1,TME[[#All],[Large Provider Entity Code]],B94)/J94,"NA")</f>
        <v>NA</v>
      </c>
      <c r="L94" s="152" t="str">
        <f>IFERROR(SUMIFS(TME[[#All],[Total Truncated Claims Spending]],TME[[#All],[Reporting Year]],2019,TME[[#All],[Insurance Category Code]],1,TME[[#All],[Large Provider Entity Code]],B94)/J94,"NA")</f>
        <v>NA</v>
      </c>
      <c r="M94" s="152" t="str">
        <f>IFERROR(SUMIFS(TME[[#All],[Total Non-Claims Spending]],TME[[#All],[Reporting Year]],2019,TME[[#All],[Insurance Category Code]],1,TME[[#All],[Large Provider Entity Code]],B94)/J94,"NA")</f>
        <v>NA</v>
      </c>
      <c r="N94" s="152" t="str">
        <f>IFERROR(SUMIFS(TME[[#All],[Total Non-Truncated Claims and Non-Claims Spending]],TME[[#All],[Reporting Year]],2019,TME[[#All],[Insurance Category Code]],1,TME[[#All],[Large Provider Entity Code]],B94)/J94,"NA")</f>
        <v>NA</v>
      </c>
      <c r="O94" s="152" t="str">
        <f>IFERROR(SUMIFS(TME[[#All],[Truncated Total Expenses (Total Truncated Claims Expenses + Non-Claims Expenses)]],TME[[#All],[Reporting Year]],2019,TME[[#All],[Insurance Category Code]],1,TME[[#All],[Large Provider Entity Code]],B94)/J94,"NA")</f>
        <v>NA</v>
      </c>
      <c r="P94" s="154" t="str">
        <f t="shared" si="150"/>
        <v>NA</v>
      </c>
      <c r="Q94" s="154" t="str">
        <f t="shared" si="151"/>
        <v>NA</v>
      </c>
      <c r="R94" s="154" t="str">
        <f t="shared" si="152"/>
        <v>NA</v>
      </c>
      <c r="S94" s="154" t="str">
        <f t="shared" si="153"/>
        <v>NA</v>
      </c>
      <c r="T94" s="154" t="str">
        <f t="shared" si="154"/>
        <v>NA</v>
      </c>
      <c r="U94" s="154" t="str">
        <f t="shared" si="155"/>
        <v>NA</v>
      </c>
      <c r="W94" s="123">
        <v>111</v>
      </c>
      <c r="X94" s="103" t="s">
        <v>254</v>
      </c>
      <c r="Y94" s="141">
        <f>SUMIFS(TME[[#All],[Member Months]],TME[[#All],[Reporting Year]],2019,TME[[#All],[Insurance Category Code]],1,TME[[#All],[Large Provider Entity Code]],W94)</f>
        <v>0</v>
      </c>
      <c r="Z94" s="152" t="str">
        <f>IFERROR(SUMIFS(TME[[#All],[Total Non-Truncated Claims Spending]],TME[[#All],[Reporting Year]],2019,TME[[#All],[Insurance Category Code]],1,TME[[#All],[Large Provider Entity Code]],W94)/Y94,"NA")</f>
        <v>NA</v>
      </c>
      <c r="AA94" s="152" t="str">
        <f>IFERROR(SUMIFS(TME[[#All],[Total Truncated Claims Spending]],TME[[#All],[Reporting Year]],2019,TME[[#All],[Insurance Category Code]],1,TME[[#All],[Large Provider Entity Code]],W94)/Y94,"NA")</f>
        <v>NA</v>
      </c>
      <c r="AB94" s="152" t="str">
        <f>IFERROR(SUMIFS(TME[[#All],[Total Non-Claims Spending]],TME[[#All],[Reporting Year]],2019,TME[[#All],[Insurance Category Code]],1,TME[[#All],[Large Provider Entity Code]],W94)/Y94,"NA")</f>
        <v>NA</v>
      </c>
      <c r="AC94" s="152" t="str">
        <f>IFERROR(SUMIFS(TME[[#All],[Total Non-Truncated Claims and Non-Claims Spending]],TME[[#All],[Reporting Year]],2019,TME[[#All],[Insurance Category Code]],1,TME[[#All],[Large Provider Entity Code]],W94)/Y94,"NA")</f>
        <v>NA</v>
      </c>
      <c r="AD94" s="152" t="str">
        <f>IFERROR(SUMIFS(TME[[#All],[Truncated Total Expenses (Total Truncated Claims Expenses + Non-Claims Expenses)]],TME[[#All],[Reporting Year]],2019,TME[[#All],[Insurance Category Code]],1,TME[[#All],[Large Provider Entity Code]],W94)/Y94,"NA")</f>
        <v>NA</v>
      </c>
      <c r="AE94" s="141">
        <f>SUMIFS(TME[[#All],[Member Months]],TME[[#All],[Reporting Year]],2020,TME[[#All],[Insurance Category Code]],1,TME[[#All],[Large Provider Entity Code]],W94)</f>
        <v>0</v>
      </c>
      <c r="AF94" s="152" t="str">
        <f>IFERROR(SUMIFS(TME[[#All],[Total Non-Truncated Claims Spending]],TME[[#All],[Reporting Year]],2020,TME[[#All],[Insurance Category Code]],1,TME[[#All],[Large Provider Entity Code]],W94)/AE94,"NA")</f>
        <v>NA</v>
      </c>
      <c r="AG94" s="152" t="str">
        <f>IFERROR(SUMIFS(TME[[#All],[Total Truncated Claims Spending]],TME[[#All],[Reporting Year]],2020,TME[[#All],[Insurance Category Code]],1,TME[[#All],[Large Provider Entity Code]],W94)/AE94,"NA")</f>
        <v>NA</v>
      </c>
      <c r="AH94" s="152" t="str">
        <f>IFERROR(SUMIFS(TME[[#All],[Total Non-Claims Spending]],TME[[#All],[Reporting Year]],2020,TME[[#All],[Insurance Category Code]],1,TME[[#All],[Large Provider Entity Code]],W94)/AE94,"NA")</f>
        <v>NA</v>
      </c>
      <c r="AI94" s="152" t="str">
        <f>IFERROR(SUMIFS(TME[[#All],[Total Non-Truncated Claims and Non-Claims Spending]],TME[[#All],[Reporting Year]],2020,TME[[#All],[Insurance Category Code]],1,TME[[#All],[Large Provider Entity Code]],W94)/AE94,"NA")</f>
        <v>NA</v>
      </c>
      <c r="AJ94" s="152" t="str">
        <f>IFERROR(SUMIFS(TME[[#All],[Truncated Total Expenses (Total Truncated Claims Expenses + Non-Claims Expenses)]],TME[[#All],[Reporting Year]],2020,TME[[#All],[Insurance Category Code]],1,TME[[#All],[Large Provider Entity Code]],W94)/AE94,"NA")</f>
        <v>NA</v>
      </c>
      <c r="AK94" s="154" t="str">
        <f t="shared" si="156"/>
        <v>NA</v>
      </c>
      <c r="AL94" s="154" t="str">
        <f t="shared" si="157"/>
        <v>NA</v>
      </c>
      <c r="AM94" s="154" t="str">
        <f t="shared" si="158"/>
        <v>NA</v>
      </c>
      <c r="AN94" s="154" t="str">
        <f t="shared" si="159"/>
        <v>NA</v>
      </c>
      <c r="AO94" s="154" t="str">
        <f t="shared" si="160"/>
        <v>NA</v>
      </c>
      <c r="AP94" s="154" t="str">
        <f t="shared" si="161"/>
        <v>NA</v>
      </c>
      <c r="AR94" s="123">
        <v>111</v>
      </c>
      <c r="AS94" s="103" t="s">
        <v>254</v>
      </c>
      <c r="AT94" s="141">
        <f>SUMIFS(TME[[#All],[Member Months]],TME[[#All],[Reporting Year]],2020,TME[[#All],[Insurance Category Code]],1,TME[[#All],[Large Provider Entity Code]],AR94)</f>
        <v>0</v>
      </c>
      <c r="AU94" s="152" t="str">
        <f>IFERROR(SUMIFS(TME[[#All],[Total Non-Truncated Claims Spending]],TME[[#All],[Reporting Year]],2020,TME[[#All],[Insurance Category Code]],1,TME[[#All],[Large Provider Entity Code]],AR94)/AT94,"NA")</f>
        <v>NA</v>
      </c>
      <c r="AV94" s="152" t="str">
        <f>IFERROR(SUMIFS(TME[[#All],[Total Truncated Claims Spending]],TME[[#All],[Reporting Year]],2020,TME[[#All],[Insurance Category Code]],1,TME[[#All],[Large Provider Entity Code]],AR94)/AT94,"NA")</f>
        <v>NA</v>
      </c>
      <c r="AW94" s="152" t="str">
        <f>IFERROR(SUMIFS(TME[[#All],[Total Non-Claims Spending]],TME[[#All],[Reporting Year]],2020,TME[[#All],[Insurance Category Code]],1,TME[[#All],[Large Provider Entity Code]],AR94)/AT94,"NA")</f>
        <v>NA</v>
      </c>
      <c r="AX94" s="152" t="str">
        <f>IFERROR(SUMIFS(TME[[#All],[Total Non-Truncated Claims and Non-Claims Spending]],TME[[#All],[Reporting Year]],2020,TME[[#All],[Insurance Category Code]],1,TME[[#All],[Large Provider Entity Code]],AR94)/AT94,"NA")</f>
        <v>NA</v>
      </c>
      <c r="AY94" s="152" t="str">
        <f>IFERROR(SUMIFS(TME[[#All],[Truncated Total Expenses (Total Truncated Claims Expenses + Non-Claims Expenses)]],TME[[#All],[Reporting Year]],2020,TME[[#All],[Insurance Category Code]],1,TME[[#All],[Large Provider Entity Code]],AR94)/AT94,"NA")</f>
        <v>NA</v>
      </c>
      <c r="AZ94" s="141">
        <f>SUMIFS(TME[[#All],[Member Months]],TME[[#All],[Reporting Year]],2021,TME[[#All],[Insurance Category Code]],1,TME[[#All],[Large Provider Entity Code]],AR94)</f>
        <v>0</v>
      </c>
      <c r="BA94" s="152" t="str">
        <f>IFERROR(SUMIFS(TME[[#All],[Total Non-Truncated Claims Spending]],TME[[#All],[Reporting Year]],2021,TME[[#All],[Insurance Category Code]],1,TME[[#All],[Large Provider Entity Code]],AR94)/AZ94,"NA")</f>
        <v>NA</v>
      </c>
      <c r="BB94" s="152" t="str">
        <f>IFERROR(SUMIFS(TME[[#All],[Total Truncated Claims Spending]],TME[[#All],[Reporting Year]],2021,TME[[#All],[Insurance Category Code]],1,TME[[#All],[Large Provider Entity Code]],AR94)/AZ94,"NA")</f>
        <v>NA</v>
      </c>
      <c r="BC94" s="152" t="str">
        <f>IFERROR(SUMIFS(TME[[#All],[Total Non-Claims Spending]],TME[[#All],[Reporting Year]],2021,TME[[#All],[Insurance Category Code]],1,TME[[#All],[Large Provider Entity Code]],AR94)/AZ94,"NA")</f>
        <v>NA</v>
      </c>
      <c r="BD94" s="152" t="str">
        <f>IFERROR(SUMIFS(TME[[#All],[Total Non-Truncated Claims and Non-Claims Spending]],TME[[#All],[Reporting Year]],2021,TME[[#All],[Insurance Category Code]],1,TME[[#All],[Large Provider Entity Code]],AR94)/AZ94,"NA")</f>
        <v>NA</v>
      </c>
      <c r="BE94" s="152" t="str">
        <f>IFERROR(SUMIFS(TME[[#All],[Truncated Total Expenses (Total Truncated Claims Expenses + Non-Claims Expenses)]],TME[[#All],[Reporting Year]],2021,TME[[#All],[Insurance Category Code]],1,TME[[#All],[Large Provider Entity Code]],AR94)/AZ94,"NA")</f>
        <v>NA</v>
      </c>
      <c r="BF94" s="154" t="str">
        <f t="shared" si="162"/>
        <v>NA</v>
      </c>
      <c r="BG94" s="154" t="str">
        <f t="shared" si="163"/>
        <v>NA</v>
      </c>
      <c r="BH94" s="154" t="str">
        <f t="shared" si="164"/>
        <v>NA</v>
      </c>
      <c r="BI94" s="154" t="str">
        <f t="shared" si="165"/>
        <v>NA</v>
      </c>
      <c r="BJ94" s="154" t="str">
        <f t="shared" si="166"/>
        <v>NA</v>
      </c>
      <c r="BK94" s="154" t="str">
        <f t="shared" si="167"/>
        <v>NA</v>
      </c>
    </row>
    <row r="95" spans="2:63" x14ac:dyDescent="0.35">
      <c r="B95" s="123">
        <v>999</v>
      </c>
      <c r="C95" s="103" t="s">
        <v>42</v>
      </c>
      <c r="D95" s="141">
        <f>SUMIFS(TME[[#All],[Member Months]],TME[[#All],[Reporting Year]],2018,TME[[#All],[Insurance Category Code]],1,TME[[#All],[Large Provider Entity Code]],B95)</f>
        <v>0</v>
      </c>
      <c r="E95" s="152" t="str">
        <f>IFERROR(SUMIFS(TME[[#All],[Total Non-Truncated Claims Spending]],TME[[#All],[Reporting Year]],2018,TME[[#All],[Insurance Category Code]],1,TME[[#All],[Large Provider Entity Code]],B95)/D95,"NA")</f>
        <v>NA</v>
      </c>
      <c r="F95" s="152" t="str">
        <f>IFERROR(SUMIFS(TME[[#All],[Total Truncated Claims Spending]],TME[[#All],[Reporting Year]],2018,TME[[#All],[Insurance Category Code]],1,TME[[#All],[Large Provider Entity Code]],B95)/D95,"NA")</f>
        <v>NA</v>
      </c>
      <c r="G95" s="152" t="str">
        <f>IFERROR(SUMIFS(TME[[#All],[Total Non-Claims Spending]],TME[[#All],[Reporting Year]],2018,TME[[#All],[Insurance Category Code]],1,TME[[#All],[Large Provider Entity Code]],B95)/D95,"NA")</f>
        <v>NA</v>
      </c>
      <c r="H95" s="152" t="str">
        <f>IFERROR(SUMIFS(TME[[#All],[Total Non-Truncated Claims and Non-Claims Spending]],TME[[#All],[Reporting Year]],2018,TME[[#All],[Insurance Category Code]],1,TME[[#All],[Large Provider Entity Code]],B95)/D95,"NA")</f>
        <v>NA</v>
      </c>
      <c r="I95" s="152" t="str">
        <f>IFERROR(SUMIFS(TME[[#All],[Truncated Total Expenses (Total Truncated Claims Expenses + Non-Claims Expenses)]],TME[[#All],[Reporting Year]],2018,TME[[#All],[Insurance Category Code]],1,TME[[#All],[Large Provider Entity Code]],B95)/D95,"NA")</f>
        <v>NA</v>
      </c>
      <c r="J95" s="141">
        <f>SUMIFS(TME[[#All],[Member Months]],TME[[#All],[Reporting Year]],2019,TME[[#All],[Insurance Category Code]],1,TME[[#All],[Large Provider Entity Code]],B95)</f>
        <v>0</v>
      </c>
      <c r="K95" s="152" t="str">
        <f>IFERROR(SUMIFS(TME[[#All],[Total Non-Truncated Claims Spending]],TME[[#All],[Reporting Year]],2019,TME[[#All],[Insurance Category Code]],1,TME[[#All],[Large Provider Entity Code]],B95)/J95,"NA")</f>
        <v>NA</v>
      </c>
      <c r="L95" s="152" t="str">
        <f>IFERROR(SUMIFS(TME[[#All],[Total Truncated Claims Spending]],TME[[#All],[Reporting Year]],2019,TME[[#All],[Insurance Category Code]],1,TME[[#All],[Large Provider Entity Code]],B95)/J95,"NA")</f>
        <v>NA</v>
      </c>
      <c r="M95" s="152" t="str">
        <f>IFERROR(SUMIFS(TME[[#All],[Total Non-Claims Spending]],TME[[#All],[Reporting Year]],2019,TME[[#All],[Insurance Category Code]],1,TME[[#All],[Large Provider Entity Code]],B95)/J95,"NA")</f>
        <v>NA</v>
      </c>
      <c r="N95" s="152" t="str">
        <f>IFERROR(SUMIFS(TME[[#All],[Total Non-Truncated Claims and Non-Claims Spending]],TME[[#All],[Reporting Year]],2019,TME[[#All],[Insurance Category Code]],1,TME[[#All],[Large Provider Entity Code]],B95)/J95,"NA")</f>
        <v>NA</v>
      </c>
      <c r="O95" s="152" t="str">
        <f>IFERROR(SUMIFS(TME[[#All],[Truncated Total Expenses (Total Truncated Claims Expenses + Non-Claims Expenses)]],TME[[#All],[Reporting Year]],2019,TME[[#All],[Insurance Category Code]],1,TME[[#All],[Large Provider Entity Code]],B95)/J95,"NA")</f>
        <v>NA</v>
      </c>
      <c r="P95" s="154" t="str">
        <f t="shared" si="150"/>
        <v>NA</v>
      </c>
      <c r="Q95" s="154" t="str">
        <f t="shared" si="151"/>
        <v>NA</v>
      </c>
      <c r="R95" s="154" t="str">
        <f t="shared" si="152"/>
        <v>NA</v>
      </c>
      <c r="S95" s="154" t="str">
        <f t="shared" si="153"/>
        <v>NA</v>
      </c>
      <c r="T95" s="154" t="str">
        <f t="shared" si="154"/>
        <v>NA</v>
      </c>
      <c r="U95" s="154" t="str">
        <f t="shared" si="155"/>
        <v>NA</v>
      </c>
      <c r="W95" s="123">
        <v>999</v>
      </c>
      <c r="X95" s="103" t="s">
        <v>42</v>
      </c>
      <c r="Y95" s="141">
        <f>SUMIFS(TME[[#All],[Member Months]],TME[[#All],[Reporting Year]],2019,TME[[#All],[Insurance Category Code]],1,TME[[#All],[Large Provider Entity Code]],W95)</f>
        <v>0</v>
      </c>
      <c r="Z95" s="152" t="str">
        <f>IFERROR(SUMIFS(TME[[#All],[Total Non-Truncated Claims Spending]],TME[[#All],[Reporting Year]],2019,TME[[#All],[Insurance Category Code]],1,TME[[#All],[Large Provider Entity Code]],W95)/Y95,"NA")</f>
        <v>NA</v>
      </c>
      <c r="AA95" s="152" t="str">
        <f>IFERROR(SUMIFS(TME[[#All],[Total Truncated Claims Spending]],TME[[#All],[Reporting Year]],2019,TME[[#All],[Insurance Category Code]],1,TME[[#All],[Large Provider Entity Code]],W95)/Y95,"NA")</f>
        <v>NA</v>
      </c>
      <c r="AB95" s="152" t="str">
        <f>IFERROR(SUMIFS(TME[[#All],[Total Non-Claims Spending]],TME[[#All],[Reporting Year]],2019,TME[[#All],[Insurance Category Code]],1,TME[[#All],[Large Provider Entity Code]],W95)/Y95,"NA")</f>
        <v>NA</v>
      </c>
      <c r="AC95" s="152" t="str">
        <f>IFERROR(SUMIFS(TME[[#All],[Total Non-Truncated Claims and Non-Claims Spending]],TME[[#All],[Reporting Year]],2019,TME[[#All],[Insurance Category Code]],1,TME[[#All],[Large Provider Entity Code]],W95)/Y95,"NA")</f>
        <v>NA</v>
      </c>
      <c r="AD95" s="152" t="str">
        <f>IFERROR(SUMIFS(TME[[#All],[Truncated Total Expenses (Total Truncated Claims Expenses + Non-Claims Expenses)]],TME[[#All],[Reporting Year]],2019,TME[[#All],[Insurance Category Code]],1,TME[[#All],[Large Provider Entity Code]],W95)/Y95,"NA")</f>
        <v>NA</v>
      </c>
      <c r="AE95" s="141">
        <f>SUMIFS(TME[[#All],[Member Months]],TME[[#All],[Reporting Year]],2020,TME[[#All],[Insurance Category Code]],1,TME[[#All],[Large Provider Entity Code]],W95)</f>
        <v>0</v>
      </c>
      <c r="AF95" s="152" t="str">
        <f>IFERROR(SUMIFS(TME[[#All],[Total Non-Truncated Claims Spending]],TME[[#All],[Reporting Year]],2020,TME[[#All],[Insurance Category Code]],1,TME[[#All],[Large Provider Entity Code]],W95)/AE95,"NA")</f>
        <v>NA</v>
      </c>
      <c r="AG95" s="152" t="str">
        <f>IFERROR(SUMIFS(TME[[#All],[Total Truncated Claims Spending]],TME[[#All],[Reporting Year]],2020,TME[[#All],[Insurance Category Code]],1,TME[[#All],[Large Provider Entity Code]],W95)/AE95,"NA")</f>
        <v>NA</v>
      </c>
      <c r="AH95" s="152" t="str">
        <f>IFERROR(SUMIFS(TME[[#All],[Total Non-Claims Spending]],TME[[#All],[Reporting Year]],2020,TME[[#All],[Insurance Category Code]],1,TME[[#All],[Large Provider Entity Code]],W95)/AE95,"NA")</f>
        <v>NA</v>
      </c>
      <c r="AI95" s="152" t="str">
        <f>IFERROR(SUMIFS(TME[[#All],[Total Non-Truncated Claims and Non-Claims Spending]],TME[[#All],[Reporting Year]],2020,TME[[#All],[Insurance Category Code]],1,TME[[#All],[Large Provider Entity Code]],W95)/AE95,"NA")</f>
        <v>NA</v>
      </c>
      <c r="AJ95" s="152" t="str">
        <f>IFERROR(SUMIFS(TME[[#All],[Truncated Total Expenses (Total Truncated Claims Expenses + Non-Claims Expenses)]],TME[[#All],[Reporting Year]],2020,TME[[#All],[Insurance Category Code]],1,TME[[#All],[Large Provider Entity Code]],W95)/AE95,"NA")</f>
        <v>NA</v>
      </c>
      <c r="AK95" s="154" t="str">
        <f t="shared" si="156"/>
        <v>NA</v>
      </c>
      <c r="AL95" s="154" t="str">
        <f t="shared" si="157"/>
        <v>NA</v>
      </c>
      <c r="AM95" s="154" t="str">
        <f t="shared" si="158"/>
        <v>NA</v>
      </c>
      <c r="AN95" s="154" t="str">
        <f t="shared" si="159"/>
        <v>NA</v>
      </c>
      <c r="AO95" s="154" t="str">
        <f t="shared" si="160"/>
        <v>NA</v>
      </c>
      <c r="AP95" s="154" t="str">
        <f t="shared" si="161"/>
        <v>NA</v>
      </c>
      <c r="AR95" s="123">
        <v>999</v>
      </c>
      <c r="AS95" s="103" t="s">
        <v>42</v>
      </c>
      <c r="AT95" s="141">
        <f>SUMIFS(TME[[#All],[Member Months]],TME[[#All],[Reporting Year]],2020,TME[[#All],[Insurance Category Code]],1,TME[[#All],[Large Provider Entity Code]],AR95)</f>
        <v>0</v>
      </c>
      <c r="AU95" s="152" t="str">
        <f>IFERROR(SUMIFS(TME[[#All],[Total Non-Truncated Claims Spending]],TME[[#All],[Reporting Year]],2020,TME[[#All],[Insurance Category Code]],1,TME[[#All],[Large Provider Entity Code]],AR95)/AT95,"NA")</f>
        <v>NA</v>
      </c>
      <c r="AV95" s="152" t="str">
        <f>IFERROR(SUMIFS(TME[[#All],[Total Truncated Claims Spending]],TME[[#All],[Reporting Year]],2020,TME[[#All],[Insurance Category Code]],1,TME[[#All],[Large Provider Entity Code]],AR95)/AT95,"NA")</f>
        <v>NA</v>
      </c>
      <c r="AW95" s="152" t="str">
        <f>IFERROR(SUMIFS(TME[[#All],[Total Non-Claims Spending]],TME[[#All],[Reporting Year]],2020,TME[[#All],[Insurance Category Code]],1,TME[[#All],[Large Provider Entity Code]],AR95)/AT95,"NA")</f>
        <v>NA</v>
      </c>
      <c r="AX95" s="152" t="str">
        <f>IFERROR(SUMIFS(TME[[#All],[Total Non-Truncated Claims and Non-Claims Spending]],TME[[#All],[Reporting Year]],2020,TME[[#All],[Insurance Category Code]],1,TME[[#All],[Large Provider Entity Code]],AR95)/AT95,"NA")</f>
        <v>NA</v>
      </c>
      <c r="AY95" s="152" t="str">
        <f>IFERROR(SUMIFS(TME[[#All],[Truncated Total Expenses (Total Truncated Claims Expenses + Non-Claims Expenses)]],TME[[#All],[Reporting Year]],2020,TME[[#All],[Insurance Category Code]],1,TME[[#All],[Large Provider Entity Code]],AR95)/AT95,"NA")</f>
        <v>NA</v>
      </c>
      <c r="AZ95" s="141">
        <f>SUMIFS(TME[[#All],[Member Months]],TME[[#All],[Reporting Year]],2021,TME[[#All],[Insurance Category Code]],1,TME[[#All],[Large Provider Entity Code]],AR95)</f>
        <v>0</v>
      </c>
      <c r="BA95" s="152" t="str">
        <f>IFERROR(SUMIFS(TME[[#All],[Total Non-Truncated Claims Spending]],TME[[#All],[Reporting Year]],2021,TME[[#All],[Insurance Category Code]],1,TME[[#All],[Large Provider Entity Code]],AR95)/AZ95,"NA")</f>
        <v>NA</v>
      </c>
      <c r="BB95" s="152" t="str">
        <f>IFERROR(SUMIFS(TME[[#All],[Total Truncated Claims Spending]],TME[[#All],[Reporting Year]],2021,TME[[#All],[Insurance Category Code]],1,TME[[#All],[Large Provider Entity Code]],AR95)/AZ95,"NA")</f>
        <v>NA</v>
      </c>
      <c r="BC95" s="152" t="str">
        <f>IFERROR(SUMIFS(TME[[#All],[Total Non-Claims Spending]],TME[[#All],[Reporting Year]],2021,TME[[#All],[Insurance Category Code]],1,TME[[#All],[Large Provider Entity Code]],AR95)/AZ95,"NA")</f>
        <v>NA</v>
      </c>
      <c r="BD95" s="152" t="str">
        <f>IFERROR(SUMIFS(TME[[#All],[Total Non-Truncated Claims and Non-Claims Spending]],TME[[#All],[Reporting Year]],2021,TME[[#All],[Insurance Category Code]],1,TME[[#All],[Large Provider Entity Code]],AR95)/AZ95,"NA")</f>
        <v>NA</v>
      </c>
      <c r="BE95" s="152" t="str">
        <f>IFERROR(SUMIFS(TME[[#All],[Truncated Total Expenses (Total Truncated Claims Expenses + Non-Claims Expenses)]],TME[[#All],[Reporting Year]],2021,TME[[#All],[Insurance Category Code]],1,TME[[#All],[Large Provider Entity Code]],AR95)/AZ95,"NA")</f>
        <v>NA</v>
      </c>
      <c r="BF95" s="154" t="str">
        <f t="shared" si="162"/>
        <v>NA</v>
      </c>
      <c r="BG95" s="154" t="str">
        <f t="shared" si="163"/>
        <v>NA</v>
      </c>
      <c r="BH95" s="154" t="str">
        <f t="shared" si="164"/>
        <v>NA</v>
      </c>
      <c r="BI95" s="154" t="str">
        <f t="shared" si="165"/>
        <v>NA</v>
      </c>
      <c r="BJ95" s="154" t="str">
        <f t="shared" si="166"/>
        <v>NA</v>
      </c>
      <c r="BK95" s="154" t="str">
        <f t="shared" si="167"/>
        <v>NA</v>
      </c>
    </row>
    <row r="96" spans="2:63" x14ac:dyDescent="0.35">
      <c r="B96" s="79"/>
      <c r="C96" s="79" t="s">
        <v>245</v>
      </c>
      <c r="D96" s="151">
        <f>SUM(D84:D95)</f>
        <v>0</v>
      </c>
      <c r="E96" s="153" t="str">
        <f>IFERROR((SUMPRODUCT(E84:E95,D84:D95)/D96),"NA")</f>
        <v>NA</v>
      </c>
      <c r="F96" s="153" t="str">
        <f>IFERROR((SUMPRODUCT(F84:F95,D84:D95)/D96),"NA")</f>
        <v>NA</v>
      </c>
      <c r="G96" s="153" t="str">
        <f>IFERROR((SUMPRODUCT(G84:G95,D84:D95)/D96),"NA")</f>
        <v>NA</v>
      </c>
      <c r="H96" s="153" t="str">
        <f>IFERROR((SUMPRODUCT(H84:H95,D84:D95)/D96),"NA")</f>
        <v>NA</v>
      </c>
      <c r="I96" s="153" t="str">
        <f>IFERROR((SUMPRODUCT(I84:I95,D84:D95)/D96),"NA")</f>
        <v>NA</v>
      </c>
      <c r="J96" s="151">
        <f>SUM(J84:J95)</f>
        <v>0</v>
      </c>
      <c r="K96" s="153" t="str">
        <f>IFERROR((SUMPRODUCT(K84:K95,J84:J95)/J96),"NA")</f>
        <v>NA</v>
      </c>
      <c r="L96" s="153" t="str">
        <f>IFERROR((SUMPRODUCT(L84:L95,J84:J95)/J96),"NA")</f>
        <v>NA</v>
      </c>
      <c r="M96" s="153" t="str">
        <f>IFERROR((SUMPRODUCT(M84:M95,J84:J95)/J96),"NA")</f>
        <v>NA</v>
      </c>
      <c r="N96" s="153" t="str">
        <f>IFERROR((SUMPRODUCT(N84:N95,J84:J95)/J96),"NA")</f>
        <v>NA</v>
      </c>
      <c r="O96" s="153" t="str">
        <f>IFERROR((SUMPRODUCT(O84:O95,J84:J95)/J96),"NA")</f>
        <v>NA</v>
      </c>
      <c r="P96" s="155" t="str">
        <f t="shared" si="150"/>
        <v>NA</v>
      </c>
      <c r="Q96" s="155" t="str">
        <f t="shared" si="151"/>
        <v>NA</v>
      </c>
      <c r="R96" s="155" t="str">
        <f t="shared" si="152"/>
        <v>NA</v>
      </c>
      <c r="S96" s="155" t="str">
        <f t="shared" si="153"/>
        <v>NA</v>
      </c>
      <c r="T96" s="155" t="str">
        <f t="shared" si="154"/>
        <v>NA</v>
      </c>
      <c r="U96" s="155" t="str">
        <f t="shared" si="155"/>
        <v>NA</v>
      </c>
      <c r="W96" s="79"/>
      <c r="X96" s="79" t="s">
        <v>245</v>
      </c>
      <c r="Y96" s="151">
        <f>SUM(Y84:Y95)</f>
        <v>0</v>
      </c>
      <c r="Z96" s="153" t="str">
        <f>IFERROR((SUMPRODUCT(Z84:Z95,Y84:Y95)/Y96),"NA")</f>
        <v>NA</v>
      </c>
      <c r="AA96" s="153" t="str">
        <f>IFERROR((SUMPRODUCT(AA84:AA95,Y84:Y95)/Y96),"NA")</f>
        <v>NA</v>
      </c>
      <c r="AB96" s="153" t="str">
        <f>IFERROR((SUMPRODUCT(AB84:AB95,Y84:Y95)/Y96),"NA")</f>
        <v>NA</v>
      </c>
      <c r="AC96" s="153" t="str">
        <f>IFERROR((SUMPRODUCT(AC84:AC95,Y84:Y95)/Y96),"NA")</f>
        <v>NA</v>
      </c>
      <c r="AD96" s="153" t="str">
        <f>IFERROR((SUMPRODUCT(AD84:AD95,Y84:Y95)/Y96),"NA")</f>
        <v>NA</v>
      </c>
      <c r="AE96" s="151">
        <f>SUM(AE84:AE95)</f>
        <v>0</v>
      </c>
      <c r="AF96" s="153" t="str">
        <f>IFERROR((SUMPRODUCT(AF84:AF95,AE84:AE95)/AE96),"NA")</f>
        <v>NA</v>
      </c>
      <c r="AG96" s="153" t="str">
        <f>IFERROR((SUMPRODUCT(AG84:AG95,AE84:AE95)/AE96),"NA")</f>
        <v>NA</v>
      </c>
      <c r="AH96" s="153" t="str">
        <f>IFERROR((SUMPRODUCT(AH84:AH95,AE84:AE95)/AE96),"NA")</f>
        <v>NA</v>
      </c>
      <c r="AI96" s="153" t="str">
        <f>IFERROR((SUMPRODUCT(AI84:AI95,AE84:AE95)/AE96),"NA")</f>
        <v>NA</v>
      </c>
      <c r="AJ96" s="153" t="str">
        <f>IFERROR((SUMPRODUCT(AJ84:AJ95,AE84:AE95)/AE96),"NA")</f>
        <v>NA</v>
      </c>
      <c r="AK96" s="155" t="str">
        <f t="shared" si="156"/>
        <v>NA</v>
      </c>
      <c r="AL96" s="155" t="str">
        <f t="shared" si="157"/>
        <v>NA</v>
      </c>
      <c r="AM96" s="155" t="str">
        <f t="shared" si="158"/>
        <v>NA</v>
      </c>
      <c r="AN96" s="155" t="str">
        <f t="shared" si="159"/>
        <v>NA</v>
      </c>
      <c r="AO96" s="155" t="str">
        <f t="shared" si="160"/>
        <v>NA</v>
      </c>
      <c r="AP96" s="155" t="str">
        <f t="shared" si="161"/>
        <v>NA</v>
      </c>
      <c r="AR96" s="79"/>
      <c r="AS96" s="79" t="s">
        <v>245</v>
      </c>
      <c r="AT96" s="151">
        <f>SUM(AT84:AT95)</f>
        <v>0</v>
      </c>
      <c r="AU96" s="153" t="str">
        <f>IFERROR((SUMPRODUCT(AU84:AU95,AT84:AT95)/AT96),"NA")</f>
        <v>NA</v>
      </c>
      <c r="AV96" s="153" t="str">
        <f>IFERROR((SUMPRODUCT(AV84:AV95,AT84:AT95)/AT96),"NA")</f>
        <v>NA</v>
      </c>
      <c r="AW96" s="153" t="str">
        <f>IFERROR((SUMPRODUCT(AW84:AW95,AT84:AT95)/AT96),"NA")</f>
        <v>NA</v>
      </c>
      <c r="AX96" s="153" t="str">
        <f>IFERROR((SUMPRODUCT(AX84:AX95,AT84:AT95)/AT96),"NA")</f>
        <v>NA</v>
      </c>
      <c r="AY96" s="153" t="str">
        <f>IFERROR((SUMPRODUCT(AY84:AY95,AT84:AT95)/AT96),"NA")</f>
        <v>NA</v>
      </c>
      <c r="AZ96" s="151">
        <f>SUM(AZ84:AZ95)</f>
        <v>0</v>
      </c>
      <c r="BA96" s="153" t="str">
        <f>IFERROR((SUMPRODUCT(BA84:BA95,AZ84:AZ95)/AZ96),"NA")</f>
        <v>NA</v>
      </c>
      <c r="BB96" s="153" t="str">
        <f>IFERROR((SUMPRODUCT(BB84:BB95,AZ84:AZ95)/AZ96),"NA")</f>
        <v>NA</v>
      </c>
      <c r="BC96" s="153" t="str">
        <f>IFERROR((SUMPRODUCT(BC84:BC95,AZ84:AZ95)/AZ96),"NA")</f>
        <v>NA</v>
      </c>
      <c r="BD96" s="153" t="str">
        <f>IFERROR((SUMPRODUCT(BD84:BD95,AZ84:AZ95)/AZ96),"NA")</f>
        <v>NA</v>
      </c>
      <c r="BE96" s="153" t="str">
        <f>IFERROR((SUMPRODUCT(BE84:BE95,AZ84:AZ95)/AZ96),"NA")</f>
        <v>NA</v>
      </c>
      <c r="BF96" s="155" t="str">
        <f t="shared" si="162"/>
        <v>NA</v>
      </c>
      <c r="BG96" s="155" t="str">
        <f t="shared" si="163"/>
        <v>NA</v>
      </c>
      <c r="BH96" s="155" t="str">
        <f t="shared" si="164"/>
        <v>NA</v>
      </c>
      <c r="BI96" s="155" t="str">
        <f t="shared" si="165"/>
        <v>NA</v>
      </c>
      <c r="BJ96" s="155" t="str">
        <f t="shared" si="166"/>
        <v>NA</v>
      </c>
      <c r="BK96" s="155" t="str">
        <f t="shared" si="167"/>
        <v>NA</v>
      </c>
    </row>
    <row r="97" spans="2:63" x14ac:dyDescent="0.35">
      <c r="B97" s="79"/>
      <c r="C97" s="79" t="s">
        <v>246</v>
      </c>
      <c r="D97" s="151">
        <f>D96</f>
        <v>0</v>
      </c>
      <c r="E97" s="153" t="str">
        <f>IFERROR(((SUMPRODUCT(E84:E95,D84:D95))-ABS(SUMIFS(RX_REBATE[[#All],[Total Pharmacy Rebate Amount]],RX_REBATE[[#All],[Reporting Year]],2018,RX_REBATE[[#All],[Insurance Category Code]],1)))/D97,"NA")</f>
        <v>NA</v>
      </c>
      <c r="F97" s="153" t="str">
        <f>IFERROR(((SUMPRODUCT(F84:F95,D84:D95))-ABS(SUMIFS(RX_REBATE[[#All],[Total Pharmacy Rebate Amount]],RX_REBATE[[#All],[Reporting Year]],2018,RX_REBATE[[#All],[Insurance Category Code]],1)))/D97,"NA")</f>
        <v>NA</v>
      </c>
      <c r="G97" s="153" t="str">
        <f>IFERROR(((SUMPRODUCT(G84:G95,D84:D95))-ABS(SUMIFS(RX_REBATE[[#All],[Total Pharmacy Rebate Amount]],RX_REBATE[[#All],[Reporting Year]],2018,RX_REBATE[[#All],[Insurance Category Code]],1)))/D97,"NA")</f>
        <v>NA</v>
      </c>
      <c r="H97" s="153" t="str">
        <f>IFERROR(((SUMPRODUCT(H84:H95,D84:D95))-ABS(SUMIFS(RX_REBATE[[#All],[Total Pharmacy Rebate Amount]],RX_REBATE[[#All],[Reporting Year]],2018,RX_REBATE[[#All],[Insurance Category Code]],1)))/D97,"NA")</f>
        <v>NA</v>
      </c>
      <c r="I97" s="153" t="str">
        <f>IFERROR(((SUMPRODUCT(I84:I95,D84:D95))-ABS(SUMIFS(RX_REBATE[[#All],[Total Pharmacy Rebate Amount]],RX_REBATE[[#All],[Reporting Year]],2018,RX_REBATE[[#All],[Insurance Category Code]],1)))/D97,"NA")</f>
        <v>NA</v>
      </c>
      <c r="J97" s="151">
        <f t="shared" ref="J97" si="168">J96</f>
        <v>0</v>
      </c>
      <c r="K97" s="153" t="str">
        <f>IFERROR(((SUMPRODUCT(K84:K95,J84:J95))-ABS(SUMIFS(RX_REBATE[[#All],[Total Pharmacy Rebate Amount]],RX_REBATE[[#All],[Reporting Year]],2019,RX_REBATE[[#All],[Insurance Category Code]],1)))/J97,"NA")</f>
        <v>NA</v>
      </c>
      <c r="L97" s="153" t="str">
        <f>IFERROR(((SUMPRODUCT(L84:L95,J84:J95))-ABS(SUMIFS(RX_REBATE[[#All],[Total Pharmacy Rebate Amount]],RX_REBATE[[#All],[Reporting Year]],2019,RX_REBATE[[#All],[Insurance Category Code]],1)))/J97,"NA")</f>
        <v>NA</v>
      </c>
      <c r="M97" s="153" t="str">
        <f>IFERROR(((SUMPRODUCT(M84:M95,J84:J95))-ABS(SUMIFS(RX_REBATE[[#All],[Total Pharmacy Rebate Amount]],RX_REBATE[[#All],[Reporting Year]],2019,RX_REBATE[[#All],[Insurance Category Code]],1)))/J97,"NA")</f>
        <v>NA</v>
      </c>
      <c r="N97" s="153" t="str">
        <f>IFERROR(((SUMPRODUCT(N84:N95,J84:J95))-ABS(SUMIFS(RX_REBATE[[#All],[Total Pharmacy Rebate Amount]],RX_REBATE[[#All],[Reporting Year]],2019,RX_REBATE[[#All],[Insurance Category Code]],1)))/J97,"NA")</f>
        <v>NA</v>
      </c>
      <c r="O97" s="153" t="str">
        <f>IFERROR(((SUMPRODUCT(O84:O95,J84:J95))-ABS(SUMIFS(RX_REBATE[[#All],[Total Pharmacy Rebate Amount]],RX_REBATE[[#All],[Reporting Year]],2019,RX_REBATE[[#All],[Insurance Category Code]],1)))/J97,"NA")</f>
        <v>NA</v>
      </c>
      <c r="P97" s="155" t="str">
        <f t="shared" si="150"/>
        <v>NA</v>
      </c>
      <c r="Q97" s="155" t="str">
        <f t="shared" si="151"/>
        <v>NA</v>
      </c>
      <c r="R97" s="155" t="str">
        <f t="shared" si="152"/>
        <v>NA</v>
      </c>
      <c r="S97" s="155" t="str">
        <f t="shared" si="153"/>
        <v>NA</v>
      </c>
      <c r="T97" s="155" t="str">
        <f t="shared" si="154"/>
        <v>NA</v>
      </c>
      <c r="U97" s="155" t="str">
        <f t="shared" si="155"/>
        <v>NA</v>
      </c>
      <c r="W97" s="79"/>
      <c r="X97" s="79" t="s">
        <v>246</v>
      </c>
      <c r="Y97" s="151">
        <f>Y96</f>
        <v>0</v>
      </c>
      <c r="Z97" s="153" t="str">
        <f>IFERROR(((SUMPRODUCT(Z84:Z95,Y84:Y95))-ABS(SUMIFS(RX_REBATE[[#All],[Total Pharmacy Rebate Amount]],RX_REBATE[[#All],[Reporting Year]],2019,RX_REBATE[[#All],[Insurance Category Code]],1)))/Y97,"NA")</f>
        <v>NA</v>
      </c>
      <c r="AA97" s="153" t="str">
        <f>IFERROR(((SUMPRODUCT(AA84:AA95,Y84:Y95))-ABS(SUMIFS(RX_REBATE[[#All],[Total Pharmacy Rebate Amount]],RX_REBATE[[#All],[Reporting Year]],2019,RX_REBATE[[#All],[Insurance Category Code]],1)))/Y97,"NA")</f>
        <v>NA</v>
      </c>
      <c r="AB97" s="153" t="str">
        <f>IFERROR(((SUMPRODUCT(AB84:AB95,Y84:Y95))-ABS(SUMIFS(RX_REBATE[[#All],[Total Pharmacy Rebate Amount]],RX_REBATE[[#All],[Reporting Year]],2019,RX_REBATE[[#All],[Insurance Category Code]],1)))/Y97,"NA")</f>
        <v>NA</v>
      </c>
      <c r="AC97" s="153" t="str">
        <f>IFERROR(((SUMPRODUCT(AC84:AC95,Y84:Y95))-ABS(SUMIFS(RX_REBATE[[#All],[Total Pharmacy Rebate Amount]],RX_REBATE[[#All],[Reporting Year]],2019,RX_REBATE[[#All],[Insurance Category Code]],1)))/Y97,"NA")</f>
        <v>NA</v>
      </c>
      <c r="AD97" s="153" t="str">
        <f>IFERROR(((SUMPRODUCT(AD84:AD95,Y84:Y95))-ABS(SUMIFS(RX_REBATE[[#All],[Total Pharmacy Rebate Amount]],RX_REBATE[[#All],[Reporting Year]],2019,RX_REBATE[[#All],[Insurance Category Code]],1)))/Y97,"NA")</f>
        <v>NA</v>
      </c>
      <c r="AE97" s="151">
        <f t="shared" ref="AE97" si="169">AE96</f>
        <v>0</v>
      </c>
      <c r="AF97" s="153" t="str">
        <f>IFERROR(((SUMPRODUCT(AF84:AF95,AE84:AE95))-ABS(SUMIFS(RX_REBATE[[#All],[Total Pharmacy Rebate Amount]],RX_REBATE[[#All],[Reporting Year]],2020,RX_REBATE[[#All],[Insurance Category Code]],1)))/AE97,"NA")</f>
        <v>NA</v>
      </c>
      <c r="AG97" s="153" t="str">
        <f>IFERROR(((SUMPRODUCT(AG84:AG95,AE84:AE95))-ABS(SUMIFS(RX_REBATE[[#All],[Total Pharmacy Rebate Amount]],RX_REBATE[[#All],[Reporting Year]],2020,RX_REBATE[[#All],[Insurance Category Code]],1)))/AE97,"NA")</f>
        <v>NA</v>
      </c>
      <c r="AH97" s="153" t="str">
        <f>IFERROR(((SUMPRODUCT(AH84:AH95,AE84:AE95))-ABS(SUMIFS(RX_REBATE[[#All],[Total Pharmacy Rebate Amount]],RX_REBATE[[#All],[Reporting Year]],2020,RX_REBATE[[#All],[Insurance Category Code]],1)))/AE97,"NA")</f>
        <v>NA</v>
      </c>
      <c r="AI97" s="153" t="str">
        <f>IFERROR(((SUMPRODUCT(AI84:AI95,AE84:AE95))-ABS(SUMIFS(RX_REBATE[[#All],[Total Pharmacy Rebate Amount]],RX_REBATE[[#All],[Reporting Year]],2020,RX_REBATE[[#All],[Insurance Category Code]],1)))/AE97,"NA")</f>
        <v>NA</v>
      </c>
      <c r="AJ97" s="153" t="str">
        <f>IFERROR(((SUMPRODUCT(AJ84:AJ95,AE84:AE95))-ABS(SUMIFS(RX_REBATE[[#All],[Total Pharmacy Rebate Amount]],RX_REBATE[[#All],[Reporting Year]],2020,RX_REBATE[[#All],[Insurance Category Code]],1)))/AE97,"NA")</f>
        <v>NA</v>
      </c>
      <c r="AK97" s="155" t="str">
        <f t="shared" si="156"/>
        <v>NA</v>
      </c>
      <c r="AL97" s="155" t="str">
        <f t="shared" si="157"/>
        <v>NA</v>
      </c>
      <c r="AM97" s="155" t="str">
        <f t="shared" si="158"/>
        <v>NA</v>
      </c>
      <c r="AN97" s="155" t="str">
        <f t="shared" si="159"/>
        <v>NA</v>
      </c>
      <c r="AO97" s="155" t="str">
        <f t="shared" si="160"/>
        <v>NA</v>
      </c>
      <c r="AP97" s="155" t="str">
        <f t="shared" si="161"/>
        <v>NA</v>
      </c>
      <c r="AR97" s="79"/>
      <c r="AS97" s="79" t="s">
        <v>246</v>
      </c>
      <c r="AT97" s="151">
        <f>AT96</f>
        <v>0</v>
      </c>
      <c r="AU97" s="153" t="str">
        <f>IFERROR(((SUMPRODUCT(AU84:AU95,AT84:AT95))-ABS(SUMIFS(RX_REBATE[[#All],[Total Pharmacy Rebate Amount]],RX_REBATE[[#All],[Reporting Year]],2020,RX_REBATE[[#All],[Insurance Category Code]],1)))/AT97,"NA")</f>
        <v>NA</v>
      </c>
      <c r="AV97" s="153" t="str">
        <f>IFERROR(((SUMPRODUCT(AV84:AV95,AT84:AT95))-ABS(SUMIFS(RX_REBATE[[#All],[Total Pharmacy Rebate Amount]],RX_REBATE[[#All],[Reporting Year]],2020,RX_REBATE[[#All],[Insurance Category Code]],1)))/AT97,"NA")</f>
        <v>NA</v>
      </c>
      <c r="AW97" s="153" t="str">
        <f>IFERROR(((SUMPRODUCT(AW84:AW95,AT84:AT95))-ABS(SUMIFS(RX_REBATE[[#All],[Total Pharmacy Rebate Amount]],RX_REBATE[[#All],[Reporting Year]],2020,RX_REBATE[[#All],[Insurance Category Code]],1)))/AT97,"NA")</f>
        <v>NA</v>
      </c>
      <c r="AX97" s="153" t="str">
        <f>IFERROR(((SUMPRODUCT(AX84:AX95,AT84:AT95))-ABS(SUMIFS(RX_REBATE[[#All],[Total Pharmacy Rebate Amount]],RX_REBATE[[#All],[Reporting Year]],2020,RX_REBATE[[#All],[Insurance Category Code]],1)))/AT97,"NA")</f>
        <v>NA</v>
      </c>
      <c r="AY97" s="153" t="str">
        <f>IFERROR(((SUMPRODUCT(AY84:AY95,AT84:AT95))-ABS(SUMIFS(RX_REBATE[[#All],[Total Pharmacy Rebate Amount]],RX_REBATE[[#All],[Reporting Year]],2020,RX_REBATE[[#All],[Insurance Category Code]],1)))/AT97,"NA")</f>
        <v>NA</v>
      </c>
      <c r="AZ97" s="151">
        <f t="shared" ref="AZ97" si="170">AZ96</f>
        <v>0</v>
      </c>
      <c r="BA97" s="153" t="str">
        <f>IFERROR(((SUMPRODUCT(BA84:BA95,AZ84:AZ95))-ABS(SUMIFS(RX_REBATE[[#All],[Total Pharmacy Rebate Amount]],RX_REBATE[[#All],[Reporting Year]],2021,RX_REBATE[[#All],[Insurance Category Code]],1)))/AZ97,"NA")</f>
        <v>NA</v>
      </c>
      <c r="BB97" s="153" t="str">
        <f>IFERROR(((SUMPRODUCT(BB84:BB95,AZ84:AZ95))-ABS(SUMIFS(RX_REBATE[[#All],[Total Pharmacy Rebate Amount]],RX_REBATE[[#All],[Reporting Year]],2021,RX_REBATE[[#All],[Insurance Category Code]],1)))/AZ97,"NA")</f>
        <v>NA</v>
      </c>
      <c r="BC97" s="153" t="str">
        <f>IFERROR(((SUMPRODUCT(BC84:BC95,AZ84:AZ95))-ABS(SUMIFS(RX_REBATE[[#All],[Total Pharmacy Rebate Amount]],RX_REBATE[[#All],[Reporting Year]],2021,RX_REBATE[[#All],[Insurance Category Code]],1)))/AZ97,"NA")</f>
        <v>NA</v>
      </c>
      <c r="BD97" s="153" t="str">
        <f>IFERROR(((SUMPRODUCT(BD84:BD95,AZ84:AZ95))-ABS(SUMIFS(RX_REBATE[[#All],[Total Pharmacy Rebate Amount]],RX_REBATE[[#All],[Reporting Year]],2021,RX_REBATE[[#All],[Insurance Category Code]],1)))/AZ97,"NA")</f>
        <v>NA</v>
      </c>
      <c r="BE97" s="153" t="str">
        <f>IFERROR(((SUMPRODUCT(BE84:BE95,AZ84:AZ95))-ABS(SUMIFS(RX_REBATE[[#All],[Total Pharmacy Rebate Amount]],RX_REBATE[[#All],[Reporting Year]],2021,RX_REBATE[[#All],[Insurance Category Code]],1)))/AZ97,"NA")</f>
        <v>NA</v>
      </c>
      <c r="BF97" s="155" t="str">
        <f t="shared" si="162"/>
        <v>NA</v>
      </c>
      <c r="BG97" s="155" t="str">
        <f t="shared" si="163"/>
        <v>NA</v>
      </c>
      <c r="BH97" s="155" t="str">
        <f t="shared" si="164"/>
        <v>NA</v>
      </c>
      <c r="BI97" s="155" t="str">
        <f t="shared" si="165"/>
        <v>NA</v>
      </c>
      <c r="BJ97" s="155" t="str">
        <f t="shared" si="166"/>
        <v>NA</v>
      </c>
      <c r="BK97" s="155" t="str">
        <f t="shared" si="167"/>
        <v>NA</v>
      </c>
    </row>
    <row r="99" spans="2:63" x14ac:dyDescent="0.35">
      <c r="B99" s="71" t="s">
        <v>347</v>
      </c>
      <c r="W99" s="71" t="s">
        <v>348</v>
      </c>
      <c r="AR99" s="71" t="s">
        <v>349</v>
      </c>
    </row>
    <row r="100" spans="2:63" x14ac:dyDescent="0.35">
      <c r="B100" s="70" t="s">
        <v>307</v>
      </c>
      <c r="W100" s="70" t="s">
        <v>307</v>
      </c>
      <c r="AR100" s="70" t="s">
        <v>307</v>
      </c>
    </row>
    <row r="101" spans="2:63" x14ac:dyDescent="0.35">
      <c r="B101" s="222" t="s">
        <v>300</v>
      </c>
      <c r="C101" s="222"/>
      <c r="D101" s="219">
        <v>2018</v>
      </c>
      <c r="E101" s="220"/>
      <c r="F101" s="220"/>
      <c r="G101" s="220"/>
      <c r="H101" s="220"/>
      <c r="I101" s="221"/>
      <c r="J101" s="219">
        <v>2019</v>
      </c>
      <c r="K101" s="220"/>
      <c r="L101" s="220"/>
      <c r="M101" s="220"/>
      <c r="N101" s="220"/>
      <c r="O101" s="221"/>
      <c r="P101" s="222" t="s">
        <v>287</v>
      </c>
      <c r="Q101" s="222"/>
      <c r="R101" s="222"/>
      <c r="S101" s="222"/>
      <c r="T101" s="222"/>
      <c r="U101" s="222"/>
      <c r="W101" s="222" t="s">
        <v>300</v>
      </c>
      <c r="X101" s="222"/>
      <c r="Y101" s="219">
        <v>2019</v>
      </c>
      <c r="Z101" s="220"/>
      <c r="AA101" s="220"/>
      <c r="AB101" s="220"/>
      <c r="AC101" s="220"/>
      <c r="AD101" s="221"/>
      <c r="AE101" s="219">
        <v>2020</v>
      </c>
      <c r="AF101" s="220"/>
      <c r="AG101" s="220"/>
      <c r="AH101" s="220"/>
      <c r="AI101" s="220"/>
      <c r="AJ101" s="221"/>
      <c r="AK101" s="222" t="s">
        <v>288</v>
      </c>
      <c r="AL101" s="222"/>
      <c r="AM101" s="222"/>
      <c r="AN101" s="222"/>
      <c r="AO101" s="222"/>
      <c r="AP101" s="222"/>
      <c r="AR101" s="222" t="s">
        <v>300</v>
      </c>
      <c r="AS101" s="222"/>
      <c r="AT101" s="219">
        <v>2020</v>
      </c>
      <c r="AU101" s="220"/>
      <c r="AV101" s="220"/>
      <c r="AW101" s="220"/>
      <c r="AX101" s="220"/>
      <c r="AY101" s="221"/>
      <c r="AZ101" s="219">
        <v>2021</v>
      </c>
      <c r="BA101" s="220"/>
      <c r="BB101" s="220"/>
      <c r="BC101" s="220"/>
      <c r="BD101" s="220"/>
      <c r="BE101" s="221"/>
      <c r="BF101" s="222" t="s">
        <v>289</v>
      </c>
      <c r="BG101" s="222"/>
      <c r="BH101" s="222"/>
      <c r="BI101" s="222"/>
      <c r="BJ101" s="222"/>
      <c r="BK101" s="222"/>
    </row>
    <row r="102" spans="2:63" ht="43.5" x14ac:dyDescent="0.35">
      <c r="B102" s="96" t="s">
        <v>241</v>
      </c>
      <c r="C102" s="96" t="s">
        <v>242</v>
      </c>
      <c r="D102" s="96" t="s">
        <v>90</v>
      </c>
      <c r="E102" s="96" t="s">
        <v>267</v>
      </c>
      <c r="F102" s="96" t="s">
        <v>268</v>
      </c>
      <c r="G102" s="96" t="s">
        <v>243</v>
      </c>
      <c r="H102" s="96" t="s">
        <v>269</v>
      </c>
      <c r="I102" s="96" t="s">
        <v>244</v>
      </c>
      <c r="J102" s="96" t="s">
        <v>90</v>
      </c>
      <c r="K102" s="96" t="s">
        <v>267</v>
      </c>
      <c r="L102" s="96" t="s">
        <v>268</v>
      </c>
      <c r="M102" s="96" t="s">
        <v>243</v>
      </c>
      <c r="N102" s="96" t="s">
        <v>269</v>
      </c>
      <c r="O102" s="96" t="s">
        <v>244</v>
      </c>
      <c r="P102" s="96" t="s">
        <v>90</v>
      </c>
      <c r="Q102" s="96" t="s">
        <v>267</v>
      </c>
      <c r="R102" s="96" t="s">
        <v>268</v>
      </c>
      <c r="S102" s="96" t="s">
        <v>243</v>
      </c>
      <c r="T102" s="96" t="s">
        <v>269</v>
      </c>
      <c r="U102" s="96" t="s">
        <v>244</v>
      </c>
      <c r="W102" s="96" t="s">
        <v>241</v>
      </c>
      <c r="X102" s="96" t="s">
        <v>242</v>
      </c>
      <c r="Y102" s="96" t="s">
        <v>90</v>
      </c>
      <c r="Z102" s="96" t="s">
        <v>267</v>
      </c>
      <c r="AA102" s="96" t="s">
        <v>268</v>
      </c>
      <c r="AB102" s="96" t="s">
        <v>243</v>
      </c>
      <c r="AC102" s="96" t="s">
        <v>269</v>
      </c>
      <c r="AD102" s="96" t="s">
        <v>244</v>
      </c>
      <c r="AE102" s="96" t="s">
        <v>90</v>
      </c>
      <c r="AF102" s="96" t="s">
        <v>267</v>
      </c>
      <c r="AG102" s="96" t="s">
        <v>268</v>
      </c>
      <c r="AH102" s="96" t="s">
        <v>243</v>
      </c>
      <c r="AI102" s="96" t="s">
        <v>269</v>
      </c>
      <c r="AJ102" s="96" t="s">
        <v>244</v>
      </c>
      <c r="AK102" s="96" t="s">
        <v>90</v>
      </c>
      <c r="AL102" s="96" t="s">
        <v>267</v>
      </c>
      <c r="AM102" s="96" t="s">
        <v>268</v>
      </c>
      <c r="AN102" s="96" t="s">
        <v>243</v>
      </c>
      <c r="AO102" s="96" t="s">
        <v>269</v>
      </c>
      <c r="AP102" s="96" t="s">
        <v>244</v>
      </c>
      <c r="AR102" s="96" t="s">
        <v>241</v>
      </c>
      <c r="AS102" s="96" t="s">
        <v>242</v>
      </c>
      <c r="AT102" s="96" t="s">
        <v>90</v>
      </c>
      <c r="AU102" s="96" t="s">
        <v>267</v>
      </c>
      <c r="AV102" s="96" t="s">
        <v>268</v>
      </c>
      <c r="AW102" s="96" t="s">
        <v>243</v>
      </c>
      <c r="AX102" s="96" t="s">
        <v>269</v>
      </c>
      <c r="AY102" s="96" t="s">
        <v>244</v>
      </c>
      <c r="AZ102" s="96" t="s">
        <v>90</v>
      </c>
      <c r="BA102" s="96" t="s">
        <v>267</v>
      </c>
      <c r="BB102" s="96" t="s">
        <v>268</v>
      </c>
      <c r="BC102" s="96" t="s">
        <v>243</v>
      </c>
      <c r="BD102" s="96" t="s">
        <v>269</v>
      </c>
      <c r="BE102" s="96" t="s">
        <v>244</v>
      </c>
      <c r="BF102" s="96" t="s">
        <v>90</v>
      </c>
      <c r="BG102" s="96" t="s">
        <v>267</v>
      </c>
      <c r="BH102" s="96" t="s">
        <v>268</v>
      </c>
      <c r="BI102" s="96" t="s">
        <v>243</v>
      </c>
      <c r="BJ102" s="96" t="s">
        <v>269</v>
      </c>
      <c r="BK102" s="96" t="s">
        <v>244</v>
      </c>
    </row>
    <row r="103" spans="2:63" x14ac:dyDescent="0.35">
      <c r="B103" s="123">
        <v>101</v>
      </c>
      <c r="C103" s="103" t="s">
        <v>247</v>
      </c>
      <c r="D103" s="141">
        <f>SUMIFS(TME[[#All],[Member Months]],TME[[#All],[Reporting Year]],2018,TME[[#All],[Insurance Category Code]],5,TME[[#All],[Large Provider Entity Code]],B103)</f>
        <v>0</v>
      </c>
      <c r="E103" s="152" t="str">
        <f>IFERROR(SUMIFS(TME[[#All],[Total Non-Truncated Claims Spending]],TME[[#All],[Reporting Year]],2018,TME[[#All],[Insurance Category Code]],5,TME[[#All],[Large Provider Entity Code]],B103)/D103,"NA")</f>
        <v>NA</v>
      </c>
      <c r="F103" s="152" t="str">
        <f>IFERROR(SUMIFS(TME[[#All],[Total Truncated Claims Spending]],TME[[#All],[Reporting Year]],2018,TME[[#All],[Insurance Category Code]],5,TME[[#All],[Large Provider Entity Code]],B103)/D103,"NA")</f>
        <v>NA</v>
      </c>
      <c r="G103" s="152" t="str">
        <f>IFERROR(SUMIFS(TME[[#All],[Total Non-Claims Spending]],TME[[#All],[Reporting Year]],2018,TME[[#All],[Insurance Category Code]],5,TME[[#All],[Large Provider Entity Code]],B103)/D103,"NA")</f>
        <v>NA</v>
      </c>
      <c r="H103" s="152" t="str">
        <f>IFERROR(SUMIFS(TME[[#All],[Total Non-Truncated Claims and Non-Claims Spending]],TME[[#All],[Reporting Year]],2018,TME[[#All],[Insurance Category Code]],5,TME[[#All],[Large Provider Entity Code]],B103)/D103,"NA")</f>
        <v>NA</v>
      </c>
      <c r="I103" s="152" t="str">
        <f>IFERROR(SUMIFS(TME[[#All],[Truncated Total Expenses (Total Truncated Claims Expenses + Non-Claims Expenses)]],TME[[#All],[Reporting Year]],2018,TME[[#All],[Insurance Category Code]],5,TME[[#All],[Large Provider Entity Code]],B103)/D103,"NA")</f>
        <v>NA</v>
      </c>
      <c r="J103" s="141">
        <f>SUMIFS(TME[[#All],[Member Months]],TME[[#All],[Reporting Year]],2019,TME[[#All],[Insurance Category Code]],5,TME[[#All],[Large Provider Entity Code]],B103)</f>
        <v>0</v>
      </c>
      <c r="K103" s="152" t="str">
        <f>IFERROR(SUMIFS(TME[[#All],[Total Non-Truncated Claims Spending]],TME[[#All],[Reporting Year]],2019,TME[[#All],[Insurance Category Code]],5,TME[[#All],[Large Provider Entity Code]],B103)/J103,"NA")</f>
        <v>NA</v>
      </c>
      <c r="L103" s="152" t="str">
        <f>IFERROR(SUMIFS(TME[[#All],[Total Truncated Claims Spending]],TME[[#All],[Reporting Year]],2019,TME[[#All],[Insurance Category Code]],5,TME[[#All],[Large Provider Entity Code]],B103)/J103,"NA")</f>
        <v>NA</v>
      </c>
      <c r="M103" s="152" t="str">
        <f>IFERROR(SUMIFS(TME[[#All],[Total Non-Claims Spending]],TME[[#All],[Reporting Year]],2019,TME[[#All],[Insurance Category Code]],5,TME[[#All],[Large Provider Entity Code]],B103)/J103,"NA")</f>
        <v>NA</v>
      </c>
      <c r="N103" s="152" t="str">
        <f>IFERROR(SUMIFS(TME[[#All],[Total Non-Truncated Claims and Non-Claims Spending]],TME[[#All],[Reporting Year]],2019,TME[[#All],[Insurance Category Code]],5,TME[[#All],[Large Provider Entity Code]],B103)/J103,"NA")</f>
        <v>NA</v>
      </c>
      <c r="O103" s="152" t="str">
        <f>IFERROR(SUMIFS(TME[[#All],[Truncated Total Expenses (Total Truncated Claims Expenses + Non-Claims Expenses)]],TME[[#All],[Reporting Year]],2019,TME[[#All],[Insurance Category Code]],5,TME[[#All],[Large Provider Entity Code]],B103)/J103,"NA")</f>
        <v>NA</v>
      </c>
      <c r="P103" s="154" t="str">
        <f t="shared" ref="P103:P116" si="171">IFERROR((J103/D103-1),"NA")</f>
        <v>NA</v>
      </c>
      <c r="Q103" s="154" t="str">
        <f t="shared" ref="Q103:Q116" si="172">IFERROR((K103/E103-1),"NA")</f>
        <v>NA</v>
      </c>
      <c r="R103" s="154" t="str">
        <f t="shared" ref="R103:R116" si="173">IFERROR((L103/F103-1),"NA")</f>
        <v>NA</v>
      </c>
      <c r="S103" s="154" t="str">
        <f t="shared" ref="S103:S116" si="174">IFERROR((M103/G103-1),"NA")</f>
        <v>NA</v>
      </c>
      <c r="T103" s="154" t="str">
        <f t="shared" ref="T103:T116" si="175">IFERROR((N103/H103-1),"NA")</f>
        <v>NA</v>
      </c>
      <c r="U103" s="154" t="str">
        <f t="shared" ref="U103:U116" si="176">IFERROR((O103/I103-1),"NA")</f>
        <v>NA</v>
      </c>
      <c r="W103" s="123">
        <v>101</v>
      </c>
      <c r="X103" s="103" t="s">
        <v>247</v>
      </c>
      <c r="Y103" s="141">
        <f>SUMIFS(TME[[#All],[Member Months]],TME[[#All],[Reporting Year]],2019,TME[[#All],[Insurance Category Code]],5,TME[[#All],[Large Provider Entity Code]],W103)</f>
        <v>0</v>
      </c>
      <c r="Z103" s="152" t="str">
        <f>IFERROR(SUMIFS(TME[[#All],[Total Non-Truncated Claims Spending]],TME[[#All],[Reporting Year]],2019,TME[[#All],[Insurance Category Code]],5,TME[[#All],[Large Provider Entity Code]],W103)/Y103,"NA")</f>
        <v>NA</v>
      </c>
      <c r="AA103" s="152" t="str">
        <f>IFERROR(SUMIFS(TME[[#All],[Total Truncated Claims Spending]],TME[[#All],[Reporting Year]],2019,TME[[#All],[Insurance Category Code]],5,TME[[#All],[Large Provider Entity Code]],W103)/Y103,"NA")</f>
        <v>NA</v>
      </c>
      <c r="AB103" s="152" t="str">
        <f>IFERROR(SUMIFS(TME[[#All],[Total Non-Claims Spending]],TME[[#All],[Reporting Year]],2019,TME[[#All],[Insurance Category Code]],5,TME[[#All],[Large Provider Entity Code]],W103)/Y103,"NA")</f>
        <v>NA</v>
      </c>
      <c r="AC103" s="152" t="str">
        <f>IFERROR(SUMIFS(TME[[#All],[Total Non-Truncated Claims and Non-Claims Spending]],TME[[#All],[Reporting Year]],2019,TME[[#All],[Insurance Category Code]],5,TME[[#All],[Large Provider Entity Code]],W103)/Y103,"NA")</f>
        <v>NA</v>
      </c>
      <c r="AD103" s="152" t="str">
        <f>IFERROR(SUMIFS(TME[[#All],[Truncated Total Expenses (Total Truncated Claims Expenses + Non-Claims Expenses)]],TME[[#All],[Reporting Year]],2019,TME[[#All],[Insurance Category Code]],5,TME[[#All],[Large Provider Entity Code]],W103)/Y103,"NA")</f>
        <v>NA</v>
      </c>
      <c r="AE103" s="141">
        <f>SUMIFS(TME[[#All],[Member Months]],TME[[#All],[Reporting Year]],2020,TME[[#All],[Insurance Category Code]],5,TME[[#All],[Large Provider Entity Code]],W103)</f>
        <v>0</v>
      </c>
      <c r="AF103" s="152" t="str">
        <f>IFERROR(SUMIFS(TME[[#All],[Total Non-Truncated Claims Spending]],TME[[#All],[Reporting Year]],2020,TME[[#All],[Insurance Category Code]],5,TME[[#All],[Large Provider Entity Code]],W103)/AE103,"NA")</f>
        <v>NA</v>
      </c>
      <c r="AG103" s="152" t="str">
        <f>IFERROR(SUMIFS(TME[[#All],[Total Truncated Claims Spending]],TME[[#All],[Reporting Year]],2020,TME[[#All],[Insurance Category Code]],5,TME[[#All],[Large Provider Entity Code]],W103)/AE103,"NA")</f>
        <v>NA</v>
      </c>
      <c r="AH103" s="152" t="str">
        <f>IFERROR(SUMIFS(TME[[#All],[Total Non-Claims Spending]],TME[[#All],[Reporting Year]],2020,TME[[#All],[Insurance Category Code]],5,TME[[#All],[Large Provider Entity Code]],W103)/AE103,"NA")</f>
        <v>NA</v>
      </c>
      <c r="AI103" s="152" t="str">
        <f>IFERROR(SUMIFS(TME[[#All],[Total Non-Truncated Claims and Non-Claims Spending]],TME[[#All],[Reporting Year]],2020,TME[[#All],[Insurance Category Code]],5,TME[[#All],[Large Provider Entity Code]],W103)/AE103,"NA")</f>
        <v>NA</v>
      </c>
      <c r="AJ103" s="152" t="str">
        <f>IFERROR(SUMIFS(TME[[#All],[Truncated Total Expenses (Total Truncated Claims Expenses + Non-Claims Expenses)]],TME[[#All],[Reporting Year]],2020,TME[[#All],[Insurance Category Code]],5,TME[[#All],[Large Provider Entity Code]],W103)/AE103,"NA")</f>
        <v>NA</v>
      </c>
      <c r="AK103" s="154" t="str">
        <f t="shared" ref="AK103:AK116" si="177">IFERROR((AE103/Y103-1),"NA")</f>
        <v>NA</v>
      </c>
      <c r="AL103" s="154" t="str">
        <f t="shared" ref="AL103:AL116" si="178">IFERROR((AF103/Z103-1),"NA")</f>
        <v>NA</v>
      </c>
      <c r="AM103" s="154" t="str">
        <f t="shared" ref="AM103:AM116" si="179">IFERROR((AG103/AA103-1),"NA")</f>
        <v>NA</v>
      </c>
      <c r="AN103" s="154" t="str">
        <f t="shared" ref="AN103:AN116" si="180">IFERROR((AH103/AB103-1),"NA")</f>
        <v>NA</v>
      </c>
      <c r="AO103" s="154" t="str">
        <f t="shared" ref="AO103:AO116" si="181">IFERROR((AI103/AC103-1),"NA")</f>
        <v>NA</v>
      </c>
      <c r="AP103" s="154" t="str">
        <f t="shared" ref="AP103:AP116" si="182">IFERROR((AJ103/AD103-1),"NA")</f>
        <v>NA</v>
      </c>
      <c r="AR103" s="123">
        <v>101</v>
      </c>
      <c r="AS103" s="103" t="s">
        <v>247</v>
      </c>
      <c r="AT103" s="141">
        <f>SUMIFS(TME[[#All],[Member Months]],TME[[#All],[Reporting Year]],2020,TME[[#All],[Insurance Category Code]],5,TME[[#All],[Large Provider Entity Code]],AR103)</f>
        <v>0</v>
      </c>
      <c r="AU103" s="152" t="str">
        <f>IFERROR(SUMIFS(TME[[#All],[Total Non-Truncated Claims Spending]],TME[[#All],[Reporting Year]],2020,TME[[#All],[Insurance Category Code]],5,TME[[#All],[Large Provider Entity Code]],AR103)/AT103,"NA")</f>
        <v>NA</v>
      </c>
      <c r="AV103" s="152" t="str">
        <f>IFERROR(SUMIFS(TME[[#All],[Total Truncated Claims Spending]],TME[[#All],[Reporting Year]],2020,TME[[#All],[Insurance Category Code]],5,TME[[#All],[Large Provider Entity Code]],AR103)/AT103,"NA")</f>
        <v>NA</v>
      </c>
      <c r="AW103" s="152" t="str">
        <f>IFERROR(SUMIFS(TME[[#All],[Total Non-Claims Spending]],TME[[#All],[Reporting Year]],2020,TME[[#All],[Insurance Category Code]],5,TME[[#All],[Large Provider Entity Code]],AR103)/AT103,"NA")</f>
        <v>NA</v>
      </c>
      <c r="AX103" s="152" t="str">
        <f>IFERROR(SUMIFS(TME[[#All],[Total Non-Truncated Claims and Non-Claims Spending]],TME[[#All],[Reporting Year]],2020,TME[[#All],[Insurance Category Code]],5,TME[[#All],[Large Provider Entity Code]],AR103)/AT103,"NA")</f>
        <v>NA</v>
      </c>
      <c r="AY103" s="152" t="str">
        <f>IFERROR(SUMIFS(TME[[#All],[Truncated Total Expenses (Total Truncated Claims Expenses + Non-Claims Expenses)]],TME[[#All],[Reporting Year]],2020,TME[[#All],[Insurance Category Code]],5,TME[[#All],[Large Provider Entity Code]],AR103)/AT103,"NA")</f>
        <v>NA</v>
      </c>
      <c r="AZ103" s="141">
        <f>SUMIFS(TME[[#All],[Member Months]],TME[[#All],[Reporting Year]],2021,TME[[#All],[Insurance Category Code]],5,TME[[#All],[Large Provider Entity Code]],AR103)</f>
        <v>0</v>
      </c>
      <c r="BA103" s="152" t="str">
        <f>IFERROR(SUMIFS(TME[[#All],[Total Non-Truncated Claims Spending]],TME[[#All],[Reporting Year]],2021,TME[[#All],[Insurance Category Code]],5,TME[[#All],[Large Provider Entity Code]],AR103)/AZ103,"NA")</f>
        <v>NA</v>
      </c>
      <c r="BB103" s="152" t="str">
        <f>IFERROR(SUMIFS(TME[[#All],[Total Truncated Claims Spending]],TME[[#All],[Reporting Year]],2021,TME[[#All],[Insurance Category Code]],5,TME[[#All],[Large Provider Entity Code]],AR103)/AZ103,"NA")</f>
        <v>NA</v>
      </c>
      <c r="BC103" s="152" t="str">
        <f>IFERROR(SUMIFS(TME[[#All],[Total Non-Claims Spending]],TME[[#All],[Reporting Year]],2021,TME[[#All],[Insurance Category Code]],5,TME[[#All],[Large Provider Entity Code]],AR103)/AZ103,"NA")</f>
        <v>NA</v>
      </c>
      <c r="BD103" s="152" t="str">
        <f>IFERROR(SUMIFS(TME[[#All],[Total Non-Truncated Claims and Non-Claims Spending]],TME[[#All],[Reporting Year]],2021,TME[[#All],[Insurance Category Code]],5,TME[[#All],[Large Provider Entity Code]],AR103)/AZ103,"NA")</f>
        <v>NA</v>
      </c>
      <c r="BE103" s="152" t="str">
        <f>IFERROR(SUMIFS(TME[[#All],[Truncated Total Expenses (Total Truncated Claims Expenses + Non-Claims Expenses)]],TME[[#All],[Reporting Year]],2021,TME[[#All],[Insurance Category Code]],5,TME[[#All],[Large Provider Entity Code]],AR103)/AZ103,"NA")</f>
        <v>NA</v>
      </c>
      <c r="BF103" s="154" t="str">
        <f t="shared" ref="BF103:BF116" si="183">IFERROR((AZ103/AT103-1),"NA")</f>
        <v>NA</v>
      </c>
      <c r="BG103" s="154" t="str">
        <f t="shared" ref="BG103:BG116" si="184">IFERROR((BA103/AU103-1),"NA")</f>
        <v>NA</v>
      </c>
      <c r="BH103" s="154" t="str">
        <f t="shared" ref="BH103:BH116" si="185">IFERROR((BB103/AV103-1),"NA")</f>
        <v>NA</v>
      </c>
      <c r="BI103" s="154" t="str">
        <f t="shared" ref="BI103:BI116" si="186">IFERROR((BC103/AW103-1),"NA")</f>
        <v>NA</v>
      </c>
      <c r="BJ103" s="154" t="str">
        <f t="shared" ref="BJ103:BJ116" si="187">IFERROR((BD103/AX103-1),"NA")</f>
        <v>NA</v>
      </c>
      <c r="BK103" s="154" t="str">
        <f t="shared" ref="BK103:BK116" si="188">IFERROR((BE103/AY103-1),"NA")</f>
        <v>NA</v>
      </c>
    </row>
    <row r="104" spans="2:63" x14ac:dyDescent="0.35">
      <c r="B104" s="123">
        <v>102</v>
      </c>
      <c r="C104" s="103" t="s">
        <v>292</v>
      </c>
      <c r="D104" s="141">
        <f>SUMIFS(TME[[#All],[Member Months]],TME[[#All],[Reporting Year]],2018,TME[[#All],[Insurance Category Code]],5,TME[[#All],[Large Provider Entity Code]],B104)</f>
        <v>0</v>
      </c>
      <c r="E104" s="152" t="str">
        <f>IFERROR(SUMIFS(TME[[#All],[Total Non-Truncated Claims Spending]],TME[[#All],[Reporting Year]],2018,TME[[#All],[Insurance Category Code]],5,TME[[#All],[Large Provider Entity Code]],B104)/D104,"NA")</f>
        <v>NA</v>
      </c>
      <c r="F104" s="152" t="str">
        <f>IFERROR(SUMIFS(TME[[#All],[Total Truncated Claims Spending]],TME[[#All],[Reporting Year]],2018,TME[[#All],[Insurance Category Code]],5,TME[[#All],[Large Provider Entity Code]],B104)/D104,"NA")</f>
        <v>NA</v>
      </c>
      <c r="G104" s="152" t="str">
        <f>IFERROR(SUMIFS(TME[[#All],[Total Non-Claims Spending]],TME[[#All],[Reporting Year]],2018,TME[[#All],[Insurance Category Code]],5,TME[[#All],[Large Provider Entity Code]],B104)/D104,"NA")</f>
        <v>NA</v>
      </c>
      <c r="H104" s="152" t="str">
        <f>IFERROR(SUMIFS(TME[[#All],[Total Non-Truncated Claims and Non-Claims Spending]],TME[[#All],[Reporting Year]],2018,TME[[#All],[Insurance Category Code]],5,TME[[#All],[Large Provider Entity Code]],B104)/D104,"NA")</f>
        <v>NA</v>
      </c>
      <c r="I104" s="152" t="str">
        <f>IFERROR(SUMIFS(TME[[#All],[Truncated Total Expenses (Total Truncated Claims Expenses + Non-Claims Expenses)]],TME[[#All],[Reporting Year]],2018,TME[[#All],[Insurance Category Code]],5,TME[[#All],[Large Provider Entity Code]],B104)/D104,"NA")</f>
        <v>NA</v>
      </c>
      <c r="J104" s="141">
        <f>SUMIFS(TME[[#All],[Member Months]],TME[[#All],[Reporting Year]],2019,TME[[#All],[Insurance Category Code]],5,TME[[#All],[Large Provider Entity Code]],B104)</f>
        <v>0</v>
      </c>
      <c r="K104" s="152" t="str">
        <f>IFERROR(SUMIFS(TME[[#All],[Total Non-Truncated Claims Spending]],TME[[#All],[Reporting Year]],2019,TME[[#All],[Insurance Category Code]],5,TME[[#All],[Large Provider Entity Code]],B104)/J104,"NA")</f>
        <v>NA</v>
      </c>
      <c r="L104" s="152" t="str">
        <f>IFERROR(SUMIFS(TME[[#All],[Total Truncated Claims Spending]],TME[[#All],[Reporting Year]],2019,TME[[#All],[Insurance Category Code]],5,TME[[#All],[Large Provider Entity Code]],B104)/J104,"NA")</f>
        <v>NA</v>
      </c>
      <c r="M104" s="152" t="str">
        <f>IFERROR(SUMIFS(TME[[#All],[Total Non-Claims Spending]],TME[[#All],[Reporting Year]],2019,TME[[#All],[Insurance Category Code]],5,TME[[#All],[Large Provider Entity Code]],B104)/J104,"NA")</f>
        <v>NA</v>
      </c>
      <c r="N104" s="152" t="str">
        <f>IFERROR(SUMIFS(TME[[#All],[Total Non-Truncated Claims and Non-Claims Spending]],TME[[#All],[Reporting Year]],2019,TME[[#All],[Insurance Category Code]],5,TME[[#All],[Large Provider Entity Code]],B104)/J104,"NA")</f>
        <v>NA</v>
      </c>
      <c r="O104" s="152" t="str">
        <f>IFERROR(SUMIFS(TME[[#All],[Truncated Total Expenses (Total Truncated Claims Expenses + Non-Claims Expenses)]],TME[[#All],[Reporting Year]],2019,TME[[#All],[Insurance Category Code]],5,TME[[#All],[Large Provider Entity Code]],B104)/J104,"NA")</f>
        <v>NA</v>
      </c>
      <c r="P104" s="154" t="str">
        <f t="shared" si="171"/>
        <v>NA</v>
      </c>
      <c r="Q104" s="154" t="str">
        <f t="shared" si="172"/>
        <v>NA</v>
      </c>
      <c r="R104" s="154" t="str">
        <f t="shared" si="173"/>
        <v>NA</v>
      </c>
      <c r="S104" s="154" t="str">
        <f t="shared" si="174"/>
        <v>NA</v>
      </c>
      <c r="T104" s="154" t="str">
        <f t="shared" si="175"/>
        <v>NA</v>
      </c>
      <c r="U104" s="154" t="str">
        <f t="shared" si="176"/>
        <v>NA</v>
      </c>
      <c r="W104" s="123">
        <v>102</v>
      </c>
      <c r="X104" s="103" t="s">
        <v>292</v>
      </c>
      <c r="Y104" s="141">
        <f>SUMIFS(TME[[#All],[Member Months]],TME[[#All],[Reporting Year]],2019,TME[[#All],[Insurance Category Code]],5,TME[[#All],[Large Provider Entity Code]],W104)</f>
        <v>0</v>
      </c>
      <c r="Z104" s="152" t="str">
        <f>IFERROR(SUMIFS(TME[[#All],[Total Non-Truncated Claims Spending]],TME[[#All],[Reporting Year]],2019,TME[[#All],[Insurance Category Code]],5,TME[[#All],[Large Provider Entity Code]],W104)/Y104,"NA")</f>
        <v>NA</v>
      </c>
      <c r="AA104" s="152" t="str">
        <f>IFERROR(SUMIFS(TME[[#All],[Total Truncated Claims Spending]],TME[[#All],[Reporting Year]],2019,TME[[#All],[Insurance Category Code]],5,TME[[#All],[Large Provider Entity Code]],W104)/Y104,"NA")</f>
        <v>NA</v>
      </c>
      <c r="AB104" s="152" t="str">
        <f>IFERROR(SUMIFS(TME[[#All],[Total Non-Claims Spending]],TME[[#All],[Reporting Year]],2019,TME[[#All],[Insurance Category Code]],5,TME[[#All],[Large Provider Entity Code]],W104)/Y104,"NA")</f>
        <v>NA</v>
      </c>
      <c r="AC104" s="152" t="str">
        <f>IFERROR(SUMIFS(TME[[#All],[Total Non-Truncated Claims and Non-Claims Spending]],TME[[#All],[Reporting Year]],2019,TME[[#All],[Insurance Category Code]],5,TME[[#All],[Large Provider Entity Code]],W104)/Y104,"NA")</f>
        <v>NA</v>
      </c>
      <c r="AD104" s="152" t="str">
        <f>IFERROR(SUMIFS(TME[[#All],[Truncated Total Expenses (Total Truncated Claims Expenses + Non-Claims Expenses)]],TME[[#All],[Reporting Year]],2019,TME[[#All],[Insurance Category Code]],5,TME[[#All],[Large Provider Entity Code]],W104)/Y104,"NA")</f>
        <v>NA</v>
      </c>
      <c r="AE104" s="141">
        <f>SUMIFS(TME[[#All],[Member Months]],TME[[#All],[Reporting Year]],2020,TME[[#All],[Insurance Category Code]],5,TME[[#All],[Large Provider Entity Code]],W104)</f>
        <v>0</v>
      </c>
      <c r="AF104" s="152" t="str">
        <f>IFERROR(SUMIFS(TME[[#All],[Total Non-Truncated Claims Spending]],TME[[#All],[Reporting Year]],2020,TME[[#All],[Insurance Category Code]],5,TME[[#All],[Large Provider Entity Code]],W104)/AE104,"NA")</f>
        <v>NA</v>
      </c>
      <c r="AG104" s="152" t="str">
        <f>IFERROR(SUMIFS(TME[[#All],[Total Truncated Claims Spending]],TME[[#All],[Reporting Year]],2020,TME[[#All],[Insurance Category Code]],5,TME[[#All],[Large Provider Entity Code]],W104)/AE104,"NA")</f>
        <v>NA</v>
      </c>
      <c r="AH104" s="152" t="str">
        <f>IFERROR(SUMIFS(TME[[#All],[Total Non-Claims Spending]],TME[[#All],[Reporting Year]],2020,TME[[#All],[Insurance Category Code]],5,TME[[#All],[Large Provider Entity Code]],W104)/AE104,"NA")</f>
        <v>NA</v>
      </c>
      <c r="AI104" s="152" t="str">
        <f>IFERROR(SUMIFS(TME[[#All],[Total Non-Truncated Claims and Non-Claims Spending]],TME[[#All],[Reporting Year]],2020,TME[[#All],[Insurance Category Code]],5,TME[[#All],[Large Provider Entity Code]],W104)/AE104,"NA")</f>
        <v>NA</v>
      </c>
      <c r="AJ104" s="152" t="str">
        <f>IFERROR(SUMIFS(TME[[#All],[Truncated Total Expenses (Total Truncated Claims Expenses + Non-Claims Expenses)]],TME[[#All],[Reporting Year]],2020,TME[[#All],[Insurance Category Code]],5,TME[[#All],[Large Provider Entity Code]],W104)/AE104,"NA")</f>
        <v>NA</v>
      </c>
      <c r="AK104" s="154" t="str">
        <f t="shared" si="177"/>
        <v>NA</v>
      </c>
      <c r="AL104" s="154" t="str">
        <f t="shared" si="178"/>
        <v>NA</v>
      </c>
      <c r="AM104" s="154" t="str">
        <f t="shared" si="179"/>
        <v>NA</v>
      </c>
      <c r="AN104" s="154" t="str">
        <f t="shared" si="180"/>
        <v>NA</v>
      </c>
      <c r="AO104" s="154" t="str">
        <f t="shared" si="181"/>
        <v>NA</v>
      </c>
      <c r="AP104" s="154" t="str">
        <f t="shared" si="182"/>
        <v>NA</v>
      </c>
      <c r="AR104" s="123">
        <v>102</v>
      </c>
      <c r="AS104" s="103" t="s">
        <v>292</v>
      </c>
      <c r="AT104" s="141">
        <f>SUMIFS(TME[[#All],[Member Months]],TME[[#All],[Reporting Year]],2020,TME[[#All],[Insurance Category Code]],5,TME[[#All],[Large Provider Entity Code]],AR104)</f>
        <v>0</v>
      </c>
      <c r="AU104" s="152" t="str">
        <f>IFERROR(SUMIFS(TME[[#All],[Total Non-Truncated Claims Spending]],TME[[#All],[Reporting Year]],2020,TME[[#All],[Insurance Category Code]],5,TME[[#All],[Large Provider Entity Code]],AR104)/AT104,"NA")</f>
        <v>NA</v>
      </c>
      <c r="AV104" s="152" t="str">
        <f>IFERROR(SUMIFS(TME[[#All],[Total Truncated Claims Spending]],TME[[#All],[Reporting Year]],2020,TME[[#All],[Insurance Category Code]],5,TME[[#All],[Large Provider Entity Code]],AR104)/AT104,"NA")</f>
        <v>NA</v>
      </c>
      <c r="AW104" s="152" t="str">
        <f>IFERROR(SUMIFS(TME[[#All],[Total Non-Claims Spending]],TME[[#All],[Reporting Year]],2020,TME[[#All],[Insurance Category Code]],5,TME[[#All],[Large Provider Entity Code]],AR104)/AT104,"NA")</f>
        <v>NA</v>
      </c>
      <c r="AX104" s="152" t="str">
        <f>IFERROR(SUMIFS(TME[[#All],[Total Non-Truncated Claims and Non-Claims Spending]],TME[[#All],[Reporting Year]],2020,TME[[#All],[Insurance Category Code]],5,TME[[#All],[Large Provider Entity Code]],AR104)/AT104,"NA")</f>
        <v>NA</v>
      </c>
      <c r="AY104" s="152" t="str">
        <f>IFERROR(SUMIFS(TME[[#All],[Truncated Total Expenses (Total Truncated Claims Expenses + Non-Claims Expenses)]],TME[[#All],[Reporting Year]],2020,TME[[#All],[Insurance Category Code]],5,TME[[#All],[Large Provider Entity Code]],AR104)/AT104,"NA")</f>
        <v>NA</v>
      </c>
      <c r="AZ104" s="141">
        <f>SUMIFS(TME[[#All],[Member Months]],TME[[#All],[Reporting Year]],2021,TME[[#All],[Insurance Category Code]],5,TME[[#All],[Large Provider Entity Code]],AR104)</f>
        <v>0</v>
      </c>
      <c r="BA104" s="152" t="str">
        <f>IFERROR(SUMIFS(TME[[#All],[Total Non-Truncated Claims Spending]],TME[[#All],[Reporting Year]],2021,TME[[#All],[Insurance Category Code]],5,TME[[#All],[Large Provider Entity Code]],AR104)/AZ104,"NA")</f>
        <v>NA</v>
      </c>
      <c r="BB104" s="152" t="str">
        <f>IFERROR(SUMIFS(TME[[#All],[Total Truncated Claims Spending]],TME[[#All],[Reporting Year]],2021,TME[[#All],[Insurance Category Code]],5,TME[[#All],[Large Provider Entity Code]],AR104)/AZ104,"NA")</f>
        <v>NA</v>
      </c>
      <c r="BC104" s="152" t="str">
        <f>IFERROR(SUMIFS(TME[[#All],[Total Non-Claims Spending]],TME[[#All],[Reporting Year]],2021,TME[[#All],[Insurance Category Code]],5,TME[[#All],[Large Provider Entity Code]],AR104)/AZ104,"NA")</f>
        <v>NA</v>
      </c>
      <c r="BD104" s="152" t="str">
        <f>IFERROR(SUMIFS(TME[[#All],[Total Non-Truncated Claims and Non-Claims Spending]],TME[[#All],[Reporting Year]],2021,TME[[#All],[Insurance Category Code]],5,TME[[#All],[Large Provider Entity Code]],AR104)/AZ104,"NA")</f>
        <v>NA</v>
      </c>
      <c r="BE104" s="152" t="str">
        <f>IFERROR(SUMIFS(TME[[#All],[Truncated Total Expenses (Total Truncated Claims Expenses + Non-Claims Expenses)]],TME[[#All],[Reporting Year]],2021,TME[[#All],[Insurance Category Code]],5,TME[[#All],[Large Provider Entity Code]],AR104)/AZ104,"NA")</f>
        <v>NA</v>
      </c>
      <c r="BF104" s="154" t="str">
        <f t="shared" si="183"/>
        <v>NA</v>
      </c>
      <c r="BG104" s="154" t="str">
        <f t="shared" si="184"/>
        <v>NA</v>
      </c>
      <c r="BH104" s="154" t="str">
        <f t="shared" si="185"/>
        <v>NA</v>
      </c>
      <c r="BI104" s="154" t="str">
        <f t="shared" si="186"/>
        <v>NA</v>
      </c>
      <c r="BJ104" s="154" t="str">
        <f t="shared" si="187"/>
        <v>NA</v>
      </c>
      <c r="BK104" s="154" t="str">
        <f t="shared" si="188"/>
        <v>NA</v>
      </c>
    </row>
    <row r="105" spans="2:63" x14ac:dyDescent="0.35">
      <c r="B105" s="123">
        <v>103</v>
      </c>
      <c r="C105" s="103" t="s">
        <v>248</v>
      </c>
      <c r="D105" s="141">
        <f>SUMIFS(TME[[#All],[Member Months]],TME[[#All],[Reporting Year]],2018,TME[[#All],[Insurance Category Code]],5,TME[[#All],[Large Provider Entity Code]],B105)</f>
        <v>0</v>
      </c>
      <c r="E105" s="152" t="str">
        <f>IFERROR(SUMIFS(TME[[#All],[Total Non-Truncated Claims Spending]],TME[[#All],[Reporting Year]],2018,TME[[#All],[Insurance Category Code]],5,TME[[#All],[Large Provider Entity Code]],B105)/D105,"NA")</f>
        <v>NA</v>
      </c>
      <c r="F105" s="152" t="str">
        <f>IFERROR(SUMIFS(TME[[#All],[Total Truncated Claims Spending]],TME[[#All],[Reporting Year]],2018,TME[[#All],[Insurance Category Code]],5,TME[[#All],[Large Provider Entity Code]],B105)/D105,"NA")</f>
        <v>NA</v>
      </c>
      <c r="G105" s="152" t="str">
        <f>IFERROR(SUMIFS(TME[[#All],[Total Non-Claims Spending]],TME[[#All],[Reporting Year]],2018,TME[[#All],[Insurance Category Code]],5,TME[[#All],[Large Provider Entity Code]],B105)/D105,"NA")</f>
        <v>NA</v>
      </c>
      <c r="H105" s="152" t="str">
        <f>IFERROR(SUMIFS(TME[[#All],[Total Non-Truncated Claims and Non-Claims Spending]],TME[[#All],[Reporting Year]],2018,TME[[#All],[Insurance Category Code]],5,TME[[#All],[Large Provider Entity Code]],B105)/D105,"NA")</f>
        <v>NA</v>
      </c>
      <c r="I105" s="152" t="str">
        <f>IFERROR(SUMIFS(TME[[#All],[Truncated Total Expenses (Total Truncated Claims Expenses + Non-Claims Expenses)]],TME[[#All],[Reporting Year]],2018,TME[[#All],[Insurance Category Code]],5,TME[[#All],[Large Provider Entity Code]],B105)/D105,"NA")</f>
        <v>NA</v>
      </c>
      <c r="J105" s="141">
        <f>SUMIFS(TME[[#All],[Member Months]],TME[[#All],[Reporting Year]],2019,TME[[#All],[Insurance Category Code]],5,TME[[#All],[Large Provider Entity Code]],B105)</f>
        <v>0</v>
      </c>
      <c r="K105" s="152" t="str">
        <f>IFERROR(SUMIFS(TME[[#All],[Total Non-Truncated Claims Spending]],TME[[#All],[Reporting Year]],2019,TME[[#All],[Insurance Category Code]],5,TME[[#All],[Large Provider Entity Code]],B105)/J105,"NA")</f>
        <v>NA</v>
      </c>
      <c r="L105" s="152" t="str">
        <f>IFERROR(SUMIFS(TME[[#All],[Total Truncated Claims Spending]],TME[[#All],[Reporting Year]],2019,TME[[#All],[Insurance Category Code]],5,TME[[#All],[Large Provider Entity Code]],B105)/J105,"NA")</f>
        <v>NA</v>
      </c>
      <c r="M105" s="152" t="str">
        <f>IFERROR(SUMIFS(TME[[#All],[Total Non-Claims Spending]],TME[[#All],[Reporting Year]],2019,TME[[#All],[Insurance Category Code]],5,TME[[#All],[Large Provider Entity Code]],B105)/J105,"NA")</f>
        <v>NA</v>
      </c>
      <c r="N105" s="152" t="str">
        <f>IFERROR(SUMIFS(TME[[#All],[Total Non-Truncated Claims and Non-Claims Spending]],TME[[#All],[Reporting Year]],2019,TME[[#All],[Insurance Category Code]],5,TME[[#All],[Large Provider Entity Code]],B105)/J105,"NA")</f>
        <v>NA</v>
      </c>
      <c r="O105" s="152" t="str">
        <f>IFERROR(SUMIFS(TME[[#All],[Truncated Total Expenses (Total Truncated Claims Expenses + Non-Claims Expenses)]],TME[[#All],[Reporting Year]],2019,TME[[#All],[Insurance Category Code]],5,TME[[#All],[Large Provider Entity Code]],B105)/J105,"NA")</f>
        <v>NA</v>
      </c>
      <c r="P105" s="154" t="str">
        <f t="shared" si="171"/>
        <v>NA</v>
      </c>
      <c r="Q105" s="154" t="str">
        <f t="shared" si="172"/>
        <v>NA</v>
      </c>
      <c r="R105" s="154" t="str">
        <f t="shared" si="173"/>
        <v>NA</v>
      </c>
      <c r="S105" s="154" t="str">
        <f t="shared" si="174"/>
        <v>NA</v>
      </c>
      <c r="T105" s="154" t="str">
        <f t="shared" si="175"/>
        <v>NA</v>
      </c>
      <c r="U105" s="154" t="str">
        <f t="shared" si="176"/>
        <v>NA</v>
      </c>
      <c r="W105" s="123">
        <v>103</v>
      </c>
      <c r="X105" s="103" t="s">
        <v>248</v>
      </c>
      <c r="Y105" s="141">
        <f>SUMIFS(TME[[#All],[Member Months]],TME[[#All],[Reporting Year]],2019,TME[[#All],[Insurance Category Code]],5,TME[[#All],[Large Provider Entity Code]],W105)</f>
        <v>0</v>
      </c>
      <c r="Z105" s="152" t="str">
        <f>IFERROR(SUMIFS(TME[[#All],[Total Non-Truncated Claims Spending]],TME[[#All],[Reporting Year]],2019,TME[[#All],[Insurance Category Code]],5,TME[[#All],[Large Provider Entity Code]],W105)/Y105,"NA")</f>
        <v>NA</v>
      </c>
      <c r="AA105" s="152" t="str">
        <f>IFERROR(SUMIFS(TME[[#All],[Total Truncated Claims Spending]],TME[[#All],[Reporting Year]],2019,TME[[#All],[Insurance Category Code]],5,TME[[#All],[Large Provider Entity Code]],W105)/Y105,"NA")</f>
        <v>NA</v>
      </c>
      <c r="AB105" s="152" t="str">
        <f>IFERROR(SUMIFS(TME[[#All],[Total Non-Claims Spending]],TME[[#All],[Reporting Year]],2019,TME[[#All],[Insurance Category Code]],5,TME[[#All],[Large Provider Entity Code]],W105)/Y105,"NA")</f>
        <v>NA</v>
      </c>
      <c r="AC105" s="152" t="str">
        <f>IFERROR(SUMIFS(TME[[#All],[Total Non-Truncated Claims and Non-Claims Spending]],TME[[#All],[Reporting Year]],2019,TME[[#All],[Insurance Category Code]],5,TME[[#All],[Large Provider Entity Code]],W105)/Y105,"NA")</f>
        <v>NA</v>
      </c>
      <c r="AD105" s="152" t="str">
        <f>IFERROR(SUMIFS(TME[[#All],[Truncated Total Expenses (Total Truncated Claims Expenses + Non-Claims Expenses)]],TME[[#All],[Reporting Year]],2019,TME[[#All],[Insurance Category Code]],5,TME[[#All],[Large Provider Entity Code]],W105)/Y105,"NA")</f>
        <v>NA</v>
      </c>
      <c r="AE105" s="141">
        <f>SUMIFS(TME[[#All],[Member Months]],TME[[#All],[Reporting Year]],2020,TME[[#All],[Insurance Category Code]],5,TME[[#All],[Large Provider Entity Code]],W105)</f>
        <v>0</v>
      </c>
      <c r="AF105" s="152" t="str">
        <f>IFERROR(SUMIFS(TME[[#All],[Total Non-Truncated Claims Spending]],TME[[#All],[Reporting Year]],2020,TME[[#All],[Insurance Category Code]],5,TME[[#All],[Large Provider Entity Code]],W105)/AE105,"NA")</f>
        <v>NA</v>
      </c>
      <c r="AG105" s="152" t="str">
        <f>IFERROR(SUMIFS(TME[[#All],[Total Truncated Claims Spending]],TME[[#All],[Reporting Year]],2020,TME[[#All],[Insurance Category Code]],5,TME[[#All],[Large Provider Entity Code]],W105)/AE105,"NA")</f>
        <v>NA</v>
      </c>
      <c r="AH105" s="152" t="str">
        <f>IFERROR(SUMIFS(TME[[#All],[Total Non-Claims Spending]],TME[[#All],[Reporting Year]],2020,TME[[#All],[Insurance Category Code]],5,TME[[#All],[Large Provider Entity Code]],W105)/AE105,"NA")</f>
        <v>NA</v>
      </c>
      <c r="AI105" s="152" t="str">
        <f>IFERROR(SUMIFS(TME[[#All],[Total Non-Truncated Claims and Non-Claims Spending]],TME[[#All],[Reporting Year]],2020,TME[[#All],[Insurance Category Code]],5,TME[[#All],[Large Provider Entity Code]],W105)/AE105,"NA")</f>
        <v>NA</v>
      </c>
      <c r="AJ105" s="152" t="str">
        <f>IFERROR(SUMIFS(TME[[#All],[Truncated Total Expenses (Total Truncated Claims Expenses + Non-Claims Expenses)]],TME[[#All],[Reporting Year]],2020,TME[[#All],[Insurance Category Code]],5,TME[[#All],[Large Provider Entity Code]],W105)/AE105,"NA")</f>
        <v>NA</v>
      </c>
      <c r="AK105" s="154" t="str">
        <f t="shared" si="177"/>
        <v>NA</v>
      </c>
      <c r="AL105" s="154" t="str">
        <f t="shared" si="178"/>
        <v>NA</v>
      </c>
      <c r="AM105" s="154" t="str">
        <f t="shared" si="179"/>
        <v>NA</v>
      </c>
      <c r="AN105" s="154" t="str">
        <f t="shared" si="180"/>
        <v>NA</v>
      </c>
      <c r="AO105" s="154" t="str">
        <f t="shared" si="181"/>
        <v>NA</v>
      </c>
      <c r="AP105" s="154" t="str">
        <f t="shared" si="182"/>
        <v>NA</v>
      </c>
      <c r="AR105" s="123">
        <v>103</v>
      </c>
      <c r="AS105" s="103" t="s">
        <v>248</v>
      </c>
      <c r="AT105" s="141">
        <f>SUMIFS(TME[[#All],[Member Months]],TME[[#All],[Reporting Year]],2020,TME[[#All],[Insurance Category Code]],5,TME[[#All],[Large Provider Entity Code]],AR105)</f>
        <v>0</v>
      </c>
      <c r="AU105" s="152" t="str">
        <f>IFERROR(SUMIFS(TME[[#All],[Total Non-Truncated Claims Spending]],TME[[#All],[Reporting Year]],2020,TME[[#All],[Insurance Category Code]],5,TME[[#All],[Large Provider Entity Code]],AR105)/AT105,"NA")</f>
        <v>NA</v>
      </c>
      <c r="AV105" s="152" t="str">
        <f>IFERROR(SUMIFS(TME[[#All],[Total Truncated Claims Spending]],TME[[#All],[Reporting Year]],2020,TME[[#All],[Insurance Category Code]],5,TME[[#All],[Large Provider Entity Code]],AR105)/AT105,"NA")</f>
        <v>NA</v>
      </c>
      <c r="AW105" s="152" t="str">
        <f>IFERROR(SUMIFS(TME[[#All],[Total Non-Claims Spending]],TME[[#All],[Reporting Year]],2020,TME[[#All],[Insurance Category Code]],5,TME[[#All],[Large Provider Entity Code]],AR105)/AT105,"NA")</f>
        <v>NA</v>
      </c>
      <c r="AX105" s="152" t="str">
        <f>IFERROR(SUMIFS(TME[[#All],[Total Non-Truncated Claims and Non-Claims Spending]],TME[[#All],[Reporting Year]],2020,TME[[#All],[Insurance Category Code]],5,TME[[#All],[Large Provider Entity Code]],AR105)/AT105,"NA")</f>
        <v>NA</v>
      </c>
      <c r="AY105" s="152" t="str">
        <f>IFERROR(SUMIFS(TME[[#All],[Truncated Total Expenses (Total Truncated Claims Expenses + Non-Claims Expenses)]],TME[[#All],[Reporting Year]],2020,TME[[#All],[Insurance Category Code]],5,TME[[#All],[Large Provider Entity Code]],AR105)/AT105,"NA")</f>
        <v>NA</v>
      </c>
      <c r="AZ105" s="141">
        <f>SUMIFS(TME[[#All],[Member Months]],TME[[#All],[Reporting Year]],2021,TME[[#All],[Insurance Category Code]],5,TME[[#All],[Large Provider Entity Code]],AR105)</f>
        <v>0</v>
      </c>
      <c r="BA105" s="152" t="str">
        <f>IFERROR(SUMIFS(TME[[#All],[Total Non-Truncated Claims Spending]],TME[[#All],[Reporting Year]],2021,TME[[#All],[Insurance Category Code]],5,TME[[#All],[Large Provider Entity Code]],AR105)/AZ105,"NA")</f>
        <v>NA</v>
      </c>
      <c r="BB105" s="152" t="str">
        <f>IFERROR(SUMIFS(TME[[#All],[Total Truncated Claims Spending]],TME[[#All],[Reporting Year]],2021,TME[[#All],[Insurance Category Code]],5,TME[[#All],[Large Provider Entity Code]],AR105)/AZ105,"NA")</f>
        <v>NA</v>
      </c>
      <c r="BC105" s="152" t="str">
        <f>IFERROR(SUMIFS(TME[[#All],[Total Non-Claims Spending]],TME[[#All],[Reporting Year]],2021,TME[[#All],[Insurance Category Code]],5,TME[[#All],[Large Provider Entity Code]],AR105)/AZ105,"NA")</f>
        <v>NA</v>
      </c>
      <c r="BD105" s="152" t="str">
        <f>IFERROR(SUMIFS(TME[[#All],[Total Non-Truncated Claims and Non-Claims Spending]],TME[[#All],[Reporting Year]],2021,TME[[#All],[Insurance Category Code]],5,TME[[#All],[Large Provider Entity Code]],AR105)/AZ105,"NA")</f>
        <v>NA</v>
      </c>
      <c r="BE105" s="152" t="str">
        <f>IFERROR(SUMIFS(TME[[#All],[Truncated Total Expenses (Total Truncated Claims Expenses + Non-Claims Expenses)]],TME[[#All],[Reporting Year]],2021,TME[[#All],[Insurance Category Code]],5,TME[[#All],[Large Provider Entity Code]],AR105)/AZ105,"NA")</f>
        <v>NA</v>
      </c>
      <c r="BF105" s="154" t="str">
        <f t="shared" si="183"/>
        <v>NA</v>
      </c>
      <c r="BG105" s="154" t="str">
        <f t="shared" si="184"/>
        <v>NA</v>
      </c>
      <c r="BH105" s="154" t="str">
        <f t="shared" si="185"/>
        <v>NA</v>
      </c>
      <c r="BI105" s="154" t="str">
        <f t="shared" si="186"/>
        <v>NA</v>
      </c>
      <c r="BJ105" s="154" t="str">
        <f t="shared" si="187"/>
        <v>NA</v>
      </c>
      <c r="BK105" s="154" t="str">
        <f t="shared" si="188"/>
        <v>NA</v>
      </c>
    </row>
    <row r="106" spans="2:63" x14ac:dyDescent="0.35">
      <c r="B106" s="123">
        <v>104</v>
      </c>
      <c r="C106" s="103" t="s">
        <v>249</v>
      </c>
      <c r="D106" s="141">
        <f>SUMIFS(TME[[#All],[Member Months]],TME[[#All],[Reporting Year]],2018,TME[[#All],[Insurance Category Code]],5,TME[[#All],[Large Provider Entity Code]],B106)</f>
        <v>0</v>
      </c>
      <c r="E106" s="152" t="str">
        <f>IFERROR(SUMIFS(TME[[#All],[Total Non-Truncated Claims Spending]],TME[[#All],[Reporting Year]],2018,TME[[#All],[Insurance Category Code]],5,TME[[#All],[Large Provider Entity Code]],B106)/D106,"NA")</f>
        <v>NA</v>
      </c>
      <c r="F106" s="152" t="str">
        <f>IFERROR(SUMIFS(TME[[#All],[Total Truncated Claims Spending]],TME[[#All],[Reporting Year]],2018,TME[[#All],[Insurance Category Code]],5,TME[[#All],[Large Provider Entity Code]],B106)/D106,"NA")</f>
        <v>NA</v>
      </c>
      <c r="G106" s="152" t="str">
        <f>IFERROR(SUMIFS(TME[[#All],[Total Non-Claims Spending]],TME[[#All],[Reporting Year]],2018,TME[[#All],[Insurance Category Code]],5,TME[[#All],[Large Provider Entity Code]],B106)/D106,"NA")</f>
        <v>NA</v>
      </c>
      <c r="H106" s="152" t="str">
        <f>IFERROR(SUMIFS(TME[[#All],[Total Non-Truncated Claims and Non-Claims Spending]],TME[[#All],[Reporting Year]],2018,TME[[#All],[Insurance Category Code]],5,TME[[#All],[Large Provider Entity Code]],B106)/D106,"NA")</f>
        <v>NA</v>
      </c>
      <c r="I106" s="152" t="str">
        <f>IFERROR(SUMIFS(TME[[#All],[Truncated Total Expenses (Total Truncated Claims Expenses + Non-Claims Expenses)]],TME[[#All],[Reporting Year]],2018,TME[[#All],[Insurance Category Code]],5,TME[[#All],[Large Provider Entity Code]],B106)/D106,"NA")</f>
        <v>NA</v>
      </c>
      <c r="J106" s="141">
        <f>SUMIFS(TME[[#All],[Member Months]],TME[[#All],[Reporting Year]],2019,TME[[#All],[Insurance Category Code]],5,TME[[#All],[Large Provider Entity Code]],B106)</f>
        <v>0</v>
      </c>
      <c r="K106" s="152" t="str">
        <f>IFERROR(SUMIFS(TME[[#All],[Total Non-Truncated Claims Spending]],TME[[#All],[Reporting Year]],2019,TME[[#All],[Insurance Category Code]],5,TME[[#All],[Large Provider Entity Code]],B106)/J106,"NA")</f>
        <v>NA</v>
      </c>
      <c r="L106" s="152" t="str">
        <f>IFERROR(SUMIFS(TME[[#All],[Total Truncated Claims Spending]],TME[[#All],[Reporting Year]],2019,TME[[#All],[Insurance Category Code]],5,TME[[#All],[Large Provider Entity Code]],B106)/J106,"NA")</f>
        <v>NA</v>
      </c>
      <c r="M106" s="152" t="str">
        <f>IFERROR(SUMIFS(TME[[#All],[Total Non-Claims Spending]],TME[[#All],[Reporting Year]],2019,TME[[#All],[Insurance Category Code]],5,TME[[#All],[Large Provider Entity Code]],B106)/J106,"NA")</f>
        <v>NA</v>
      </c>
      <c r="N106" s="152" t="str">
        <f>IFERROR(SUMIFS(TME[[#All],[Total Non-Truncated Claims and Non-Claims Spending]],TME[[#All],[Reporting Year]],2019,TME[[#All],[Insurance Category Code]],5,TME[[#All],[Large Provider Entity Code]],B106)/J106,"NA")</f>
        <v>NA</v>
      </c>
      <c r="O106" s="152" t="str">
        <f>IFERROR(SUMIFS(TME[[#All],[Truncated Total Expenses (Total Truncated Claims Expenses + Non-Claims Expenses)]],TME[[#All],[Reporting Year]],2019,TME[[#All],[Insurance Category Code]],5,TME[[#All],[Large Provider Entity Code]],B106)/J106,"NA")</f>
        <v>NA</v>
      </c>
      <c r="P106" s="154" t="str">
        <f t="shared" si="171"/>
        <v>NA</v>
      </c>
      <c r="Q106" s="154" t="str">
        <f t="shared" si="172"/>
        <v>NA</v>
      </c>
      <c r="R106" s="154" t="str">
        <f t="shared" si="173"/>
        <v>NA</v>
      </c>
      <c r="S106" s="154" t="str">
        <f t="shared" si="174"/>
        <v>NA</v>
      </c>
      <c r="T106" s="154" t="str">
        <f t="shared" si="175"/>
        <v>NA</v>
      </c>
      <c r="U106" s="154" t="str">
        <f t="shared" si="176"/>
        <v>NA</v>
      </c>
      <c r="W106" s="123">
        <v>104</v>
      </c>
      <c r="X106" s="103" t="s">
        <v>249</v>
      </c>
      <c r="Y106" s="141">
        <f>SUMIFS(TME[[#All],[Member Months]],TME[[#All],[Reporting Year]],2019,TME[[#All],[Insurance Category Code]],5,TME[[#All],[Large Provider Entity Code]],W106)</f>
        <v>0</v>
      </c>
      <c r="Z106" s="152" t="str">
        <f>IFERROR(SUMIFS(TME[[#All],[Total Non-Truncated Claims Spending]],TME[[#All],[Reporting Year]],2019,TME[[#All],[Insurance Category Code]],5,TME[[#All],[Large Provider Entity Code]],W106)/Y106,"NA")</f>
        <v>NA</v>
      </c>
      <c r="AA106" s="152" t="str">
        <f>IFERROR(SUMIFS(TME[[#All],[Total Truncated Claims Spending]],TME[[#All],[Reporting Year]],2019,TME[[#All],[Insurance Category Code]],5,TME[[#All],[Large Provider Entity Code]],W106)/Y106,"NA")</f>
        <v>NA</v>
      </c>
      <c r="AB106" s="152" t="str">
        <f>IFERROR(SUMIFS(TME[[#All],[Total Non-Claims Spending]],TME[[#All],[Reporting Year]],2019,TME[[#All],[Insurance Category Code]],5,TME[[#All],[Large Provider Entity Code]],W106)/Y106,"NA")</f>
        <v>NA</v>
      </c>
      <c r="AC106" s="152" t="str">
        <f>IFERROR(SUMIFS(TME[[#All],[Total Non-Truncated Claims and Non-Claims Spending]],TME[[#All],[Reporting Year]],2019,TME[[#All],[Insurance Category Code]],5,TME[[#All],[Large Provider Entity Code]],W106)/Y106,"NA")</f>
        <v>NA</v>
      </c>
      <c r="AD106" s="152" t="str">
        <f>IFERROR(SUMIFS(TME[[#All],[Truncated Total Expenses (Total Truncated Claims Expenses + Non-Claims Expenses)]],TME[[#All],[Reporting Year]],2019,TME[[#All],[Insurance Category Code]],5,TME[[#All],[Large Provider Entity Code]],W106)/Y106,"NA")</f>
        <v>NA</v>
      </c>
      <c r="AE106" s="141">
        <f>SUMIFS(TME[[#All],[Member Months]],TME[[#All],[Reporting Year]],2020,TME[[#All],[Insurance Category Code]],5,TME[[#All],[Large Provider Entity Code]],W106)</f>
        <v>0</v>
      </c>
      <c r="AF106" s="152" t="str">
        <f>IFERROR(SUMIFS(TME[[#All],[Total Non-Truncated Claims Spending]],TME[[#All],[Reporting Year]],2020,TME[[#All],[Insurance Category Code]],5,TME[[#All],[Large Provider Entity Code]],W106)/AE106,"NA")</f>
        <v>NA</v>
      </c>
      <c r="AG106" s="152" t="str">
        <f>IFERROR(SUMIFS(TME[[#All],[Total Truncated Claims Spending]],TME[[#All],[Reporting Year]],2020,TME[[#All],[Insurance Category Code]],5,TME[[#All],[Large Provider Entity Code]],W106)/AE106,"NA")</f>
        <v>NA</v>
      </c>
      <c r="AH106" s="152" t="str">
        <f>IFERROR(SUMIFS(TME[[#All],[Total Non-Claims Spending]],TME[[#All],[Reporting Year]],2020,TME[[#All],[Insurance Category Code]],5,TME[[#All],[Large Provider Entity Code]],W106)/AE106,"NA")</f>
        <v>NA</v>
      </c>
      <c r="AI106" s="152" t="str">
        <f>IFERROR(SUMIFS(TME[[#All],[Total Non-Truncated Claims and Non-Claims Spending]],TME[[#All],[Reporting Year]],2020,TME[[#All],[Insurance Category Code]],5,TME[[#All],[Large Provider Entity Code]],W106)/AE106,"NA")</f>
        <v>NA</v>
      </c>
      <c r="AJ106" s="152" t="str">
        <f>IFERROR(SUMIFS(TME[[#All],[Truncated Total Expenses (Total Truncated Claims Expenses + Non-Claims Expenses)]],TME[[#All],[Reporting Year]],2020,TME[[#All],[Insurance Category Code]],5,TME[[#All],[Large Provider Entity Code]],W106)/AE106,"NA")</f>
        <v>NA</v>
      </c>
      <c r="AK106" s="154" t="str">
        <f t="shared" si="177"/>
        <v>NA</v>
      </c>
      <c r="AL106" s="154" t="str">
        <f t="shared" si="178"/>
        <v>NA</v>
      </c>
      <c r="AM106" s="154" t="str">
        <f t="shared" si="179"/>
        <v>NA</v>
      </c>
      <c r="AN106" s="154" t="str">
        <f t="shared" si="180"/>
        <v>NA</v>
      </c>
      <c r="AO106" s="154" t="str">
        <f t="shared" si="181"/>
        <v>NA</v>
      </c>
      <c r="AP106" s="154" t="str">
        <f t="shared" si="182"/>
        <v>NA</v>
      </c>
      <c r="AR106" s="123">
        <v>104</v>
      </c>
      <c r="AS106" s="103" t="s">
        <v>249</v>
      </c>
      <c r="AT106" s="141">
        <f>SUMIFS(TME[[#All],[Member Months]],TME[[#All],[Reporting Year]],2020,TME[[#All],[Insurance Category Code]],5,TME[[#All],[Large Provider Entity Code]],AR106)</f>
        <v>0</v>
      </c>
      <c r="AU106" s="152" t="str">
        <f>IFERROR(SUMIFS(TME[[#All],[Total Non-Truncated Claims Spending]],TME[[#All],[Reporting Year]],2020,TME[[#All],[Insurance Category Code]],5,TME[[#All],[Large Provider Entity Code]],AR106)/AT106,"NA")</f>
        <v>NA</v>
      </c>
      <c r="AV106" s="152" t="str">
        <f>IFERROR(SUMIFS(TME[[#All],[Total Truncated Claims Spending]],TME[[#All],[Reporting Year]],2020,TME[[#All],[Insurance Category Code]],5,TME[[#All],[Large Provider Entity Code]],AR106)/AT106,"NA")</f>
        <v>NA</v>
      </c>
      <c r="AW106" s="152" t="str">
        <f>IFERROR(SUMIFS(TME[[#All],[Total Non-Claims Spending]],TME[[#All],[Reporting Year]],2020,TME[[#All],[Insurance Category Code]],5,TME[[#All],[Large Provider Entity Code]],AR106)/AT106,"NA")</f>
        <v>NA</v>
      </c>
      <c r="AX106" s="152" t="str">
        <f>IFERROR(SUMIFS(TME[[#All],[Total Non-Truncated Claims and Non-Claims Spending]],TME[[#All],[Reporting Year]],2020,TME[[#All],[Insurance Category Code]],5,TME[[#All],[Large Provider Entity Code]],AR106)/AT106,"NA")</f>
        <v>NA</v>
      </c>
      <c r="AY106" s="152" t="str">
        <f>IFERROR(SUMIFS(TME[[#All],[Truncated Total Expenses (Total Truncated Claims Expenses + Non-Claims Expenses)]],TME[[#All],[Reporting Year]],2020,TME[[#All],[Insurance Category Code]],5,TME[[#All],[Large Provider Entity Code]],AR106)/AT106,"NA")</f>
        <v>NA</v>
      </c>
      <c r="AZ106" s="141">
        <f>SUMIFS(TME[[#All],[Member Months]],TME[[#All],[Reporting Year]],2021,TME[[#All],[Insurance Category Code]],5,TME[[#All],[Large Provider Entity Code]],AR106)</f>
        <v>0</v>
      </c>
      <c r="BA106" s="152" t="str">
        <f>IFERROR(SUMIFS(TME[[#All],[Total Non-Truncated Claims Spending]],TME[[#All],[Reporting Year]],2021,TME[[#All],[Insurance Category Code]],5,TME[[#All],[Large Provider Entity Code]],AR106)/AZ106,"NA")</f>
        <v>NA</v>
      </c>
      <c r="BB106" s="152" t="str">
        <f>IFERROR(SUMIFS(TME[[#All],[Total Truncated Claims Spending]],TME[[#All],[Reporting Year]],2021,TME[[#All],[Insurance Category Code]],5,TME[[#All],[Large Provider Entity Code]],AR106)/AZ106,"NA")</f>
        <v>NA</v>
      </c>
      <c r="BC106" s="152" t="str">
        <f>IFERROR(SUMIFS(TME[[#All],[Total Non-Claims Spending]],TME[[#All],[Reporting Year]],2021,TME[[#All],[Insurance Category Code]],5,TME[[#All],[Large Provider Entity Code]],AR106)/AZ106,"NA")</f>
        <v>NA</v>
      </c>
      <c r="BD106" s="152" t="str">
        <f>IFERROR(SUMIFS(TME[[#All],[Total Non-Truncated Claims and Non-Claims Spending]],TME[[#All],[Reporting Year]],2021,TME[[#All],[Insurance Category Code]],5,TME[[#All],[Large Provider Entity Code]],AR106)/AZ106,"NA")</f>
        <v>NA</v>
      </c>
      <c r="BE106" s="152" t="str">
        <f>IFERROR(SUMIFS(TME[[#All],[Truncated Total Expenses (Total Truncated Claims Expenses + Non-Claims Expenses)]],TME[[#All],[Reporting Year]],2021,TME[[#All],[Insurance Category Code]],5,TME[[#All],[Large Provider Entity Code]],AR106)/AZ106,"NA")</f>
        <v>NA</v>
      </c>
      <c r="BF106" s="154" t="str">
        <f t="shared" si="183"/>
        <v>NA</v>
      </c>
      <c r="BG106" s="154" t="str">
        <f t="shared" si="184"/>
        <v>NA</v>
      </c>
      <c r="BH106" s="154" t="str">
        <f t="shared" si="185"/>
        <v>NA</v>
      </c>
      <c r="BI106" s="154" t="str">
        <f t="shared" si="186"/>
        <v>NA</v>
      </c>
      <c r="BJ106" s="154" t="str">
        <f t="shared" si="187"/>
        <v>NA</v>
      </c>
      <c r="BK106" s="154" t="str">
        <f t="shared" si="188"/>
        <v>NA</v>
      </c>
    </row>
    <row r="107" spans="2:63" x14ac:dyDescent="0.35">
      <c r="B107" s="123">
        <v>105</v>
      </c>
      <c r="C107" s="103" t="s">
        <v>293</v>
      </c>
      <c r="D107" s="141">
        <f>SUMIFS(TME[[#All],[Member Months]],TME[[#All],[Reporting Year]],2018,TME[[#All],[Insurance Category Code]],5,TME[[#All],[Large Provider Entity Code]],B107)</f>
        <v>0</v>
      </c>
      <c r="E107" s="152" t="str">
        <f>IFERROR(SUMIFS(TME[[#All],[Total Non-Truncated Claims Spending]],TME[[#All],[Reporting Year]],2018,TME[[#All],[Insurance Category Code]],5,TME[[#All],[Large Provider Entity Code]],B107)/D107,"NA")</f>
        <v>NA</v>
      </c>
      <c r="F107" s="152" t="str">
        <f>IFERROR(SUMIFS(TME[[#All],[Total Truncated Claims Spending]],TME[[#All],[Reporting Year]],2018,TME[[#All],[Insurance Category Code]],5,TME[[#All],[Large Provider Entity Code]],B107)/D107,"NA")</f>
        <v>NA</v>
      </c>
      <c r="G107" s="152" t="str">
        <f>IFERROR(SUMIFS(TME[[#All],[Total Non-Claims Spending]],TME[[#All],[Reporting Year]],2018,TME[[#All],[Insurance Category Code]],5,TME[[#All],[Large Provider Entity Code]],B107)/D107,"NA")</f>
        <v>NA</v>
      </c>
      <c r="H107" s="152" t="str">
        <f>IFERROR(SUMIFS(TME[[#All],[Total Non-Truncated Claims and Non-Claims Spending]],TME[[#All],[Reporting Year]],2018,TME[[#All],[Insurance Category Code]],5,TME[[#All],[Large Provider Entity Code]],B107)/D107,"NA")</f>
        <v>NA</v>
      </c>
      <c r="I107" s="152" t="str">
        <f>IFERROR(SUMIFS(TME[[#All],[Truncated Total Expenses (Total Truncated Claims Expenses + Non-Claims Expenses)]],TME[[#All],[Reporting Year]],2018,TME[[#All],[Insurance Category Code]],5,TME[[#All],[Large Provider Entity Code]],B107)/D107,"NA")</f>
        <v>NA</v>
      </c>
      <c r="J107" s="141">
        <f>SUMIFS(TME[[#All],[Member Months]],TME[[#All],[Reporting Year]],2019,TME[[#All],[Insurance Category Code]],5,TME[[#All],[Large Provider Entity Code]],B107)</f>
        <v>0</v>
      </c>
      <c r="K107" s="152" t="str">
        <f>IFERROR(SUMIFS(TME[[#All],[Total Non-Truncated Claims Spending]],TME[[#All],[Reporting Year]],2019,TME[[#All],[Insurance Category Code]],5,TME[[#All],[Large Provider Entity Code]],B107)/J107,"NA")</f>
        <v>NA</v>
      </c>
      <c r="L107" s="152" t="str">
        <f>IFERROR(SUMIFS(TME[[#All],[Total Truncated Claims Spending]],TME[[#All],[Reporting Year]],2019,TME[[#All],[Insurance Category Code]],5,TME[[#All],[Large Provider Entity Code]],B107)/J107,"NA")</f>
        <v>NA</v>
      </c>
      <c r="M107" s="152" t="str">
        <f>IFERROR(SUMIFS(TME[[#All],[Total Non-Claims Spending]],TME[[#All],[Reporting Year]],2019,TME[[#All],[Insurance Category Code]],5,TME[[#All],[Large Provider Entity Code]],B107)/J107,"NA")</f>
        <v>NA</v>
      </c>
      <c r="N107" s="152" t="str">
        <f>IFERROR(SUMIFS(TME[[#All],[Total Non-Truncated Claims and Non-Claims Spending]],TME[[#All],[Reporting Year]],2019,TME[[#All],[Insurance Category Code]],5,TME[[#All],[Large Provider Entity Code]],B107)/J107,"NA")</f>
        <v>NA</v>
      </c>
      <c r="O107" s="152" t="str">
        <f>IFERROR(SUMIFS(TME[[#All],[Truncated Total Expenses (Total Truncated Claims Expenses + Non-Claims Expenses)]],TME[[#All],[Reporting Year]],2019,TME[[#All],[Insurance Category Code]],5,TME[[#All],[Large Provider Entity Code]],B107)/J107,"NA")</f>
        <v>NA</v>
      </c>
      <c r="P107" s="154" t="str">
        <f t="shared" si="171"/>
        <v>NA</v>
      </c>
      <c r="Q107" s="154" t="str">
        <f t="shared" si="172"/>
        <v>NA</v>
      </c>
      <c r="R107" s="154" t="str">
        <f t="shared" si="173"/>
        <v>NA</v>
      </c>
      <c r="S107" s="154" t="str">
        <f t="shared" si="174"/>
        <v>NA</v>
      </c>
      <c r="T107" s="154" t="str">
        <f t="shared" si="175"/>
        <v>NA</v>
      </c>
      <c r="U107" s="154" t="str">
        <f t="shared" si="176"/>
        <v>NA</v>
      </c>
      <c r="W107" s="123">
        <v>105</v>
      </c>
      <c r="X107" s="103" t="s">
        <v>293</v>
      </c>
      <c r="Y107" s="141">
        <f>SUMIFS(TME[[#All],[Member Months]],TME[[#All],[Reporting Year]],2019,TME[[#All],[Insurance Category Code]],5,TME[[#All],[Large Provider Entity Code]],W107)</f>
        <v>0</v>
      </c>
      <c r="Z107" s="152" t="str">
        <f>IFERROR(SUMIFS(TME[[#All],[Total Non-Truncated Claims Spending]],TME[[#All],[Reporting Year]],2019,TME[[#All],[Insurance Category Code]],5,TME[[#All],[Large Provider Entity Code]],W107)/Y107,"NA")</f>
        <v>NA</v>
      </c>
      <c r="AA107" s="152" t="str">
        <f>IFERROR(SUMIFS(TME[[#All],[Total Truncated Claims Spending]],TME[[#All],[Reporting Year]],2019,TME[[#All],[Insurance Category Code]],5,TME[[#All],[Large Provider Entity Code]],W107)/Y107,"NA")</f>
        <v>NA</v>
      </c>
      <c r="AB107" s="152" t="str">
        <f>IFERROR(SUMIFS(TME[[#All],[Total Non-Claims Spending]],TME[[#All],[Reporting Year]],2019,TME[[#All],[Insurance Category Code]],5,TME[[#All],[Large Provider Entity Code]],W107)/Y107,"NA")</f>
        <v>NA</v>
      </c>
      <c r="AC107" s="152" t="str">
        <f>IFERROR(SUMIFS(TME[[#All],[Total Non-Truncated Claims and Non-Claims Spending]],TME[[#All],[Reporting Year]],2019,TME[[#All],[Insurance Category Code]],5,TME[[#All],[Large Provider Entity Code]],W107)/Y107,"NA")</f>
        <v>NA</v>
      </c>
      <c r="AD107" s="152" t="str">
        <f>IFERROR(SUMIFS(TME[[#All],[Truncated Total Expenses (Total Truncated Claims Expenses + Non-Claims Expenses)]],TME[[#All],[Reporting Year]],2019,TME[[#All],[Insurance Category Code]],5,TME[[#All],[Large Provider Entity Code]],W107)/Y107,"NA")</f>
        <v>NA</v>
      </c>
      <c r="AE107" s="141">
        <f>SUMIFS(TME[[#All],[Member Months]],TME[[#All],[Reporting Year]],2020,TME[[#All],[Insurance Category Code]],5,TME[[#All],[Large Provider Entity Code]],W107)</f>
        <v>0</v>
      </c>
      <c r="AF107" s="152" t="str">
        <f>IFERROR(SUMIFS(TME[[#All],[Total Non-Truncated Claims Spending]],TME[[#All],[Reporting Year]],2020,TME[[#All],[Insurance Category Code]],5,TME[[#All],[Large Provider Entity Code]],W107)/AE107,"NA")</f>
        <v>NA</v>
      </c>
      <c r="AG107" s="152" t="str">
        <f>IFERROR(SUMIFS(TME[[#All],[Total Truncated Claims Spending]],TME[[#All],[Reporting Year]],2020,TME[[#All],[Insurance Category Code]],5,TME[[#All],[Large Provider Entity Code]],W107)/AE107,"NA")</f>
        <v>NA</v>
      </c>
      <c r="AH107" s="152" t="str">
        <f>IFERROR(SUMIFS(TME[[#All],[Total Non-Claims Spending]],TME[[#All],[Reporting Year]],2020,TME[[#All],[Insurance Category Code]],5,TME[[#All],[Large Provider Entity Code]],W107)/AE107,"NA")</f>
        <v>NA</v>
      </c>
      <c r="AI107" s="152" t="str">
        <f>IFERROR(SUMIFS(TME[[#All],[Total Non-Truncated Claims and Non-Claims Spending]],TME[[#All],[Reporting Year]],2020,TME[[#All],[Insurance Category Code]],5,TME[[#All],[Large Provider Entity Code]],W107)/AE107,"NA")</f>
        <v>NA</v>
      </c>
      <c r="AJ107" s="152" t="str">
        <f>IFERROR(SUMIFS(TME[[#All],[Truncated Total Expenses (Total Truncated Claims Expenses + Non-Claims Expenses)]],TME[[#All],[Reporting Year]],2020,TME[[#All],[Insurance Category Code]],5,TME[[#All],[Large Provider Entity Code]],W107)/AE107,"NA")</f>
        <v>NA</v>
      </c>
      <c r="AK107" s="154" t="str">
        <f t="shared" si="177"/>
        <v>NA</v>
      </c>
      <c r="AL107" s="154" t="str">
        <f t="shared" si="178"/>
        <v>NA</v>
      </c>
      <c r="AM107" s="154" t="str">
        <f t="shared" si="179"/>
        <v>NA</v>
      </c>
      <c r="AN107" s="154" t="str">
        <f t="shared" si="180"/>
        <v>NA</v>
      </c>
      <c r="AO107" s="154" t="str">
        <f t="shared" si="181"/>
        <v>NA</v>
      </c>
      <c r="AP107" s="154" t="str">
        <f t="shared" si="182"/>
        <v>NA</v>
      </c>
      <c r="AR107" s="123">
        <v>105</v>
      </c>
      <c r="AS107" s="103" t="s">
        <v>293</v>
      </c>
      <c r="AT107" s="141">
        <f>SUMIFS(TME[[#All],[Member Months]],TME[[#All],[Reporting Year]],2020,TME[[#All],[Insurance Category Code]],5,TME[[#All],[Large Provider Entity Code]],AR107)</f>
        <v>0</v>
      </c>
      <c r="AU107" s="152" t="str">
        <f>IFERROR(SUMIFS(TME[[#All],[Total Non-Truncated Claims Spending]],TME[[#All],[Reporting Year]],2020,TME[[#All],[Insurance Category Code]],5,TME[[#All],[Large Provider Entity Code]],AR107)/AT107,"NA")</f>
        <v>NA</v>
      </c>
      <c r="AV107" s="152" t="str">
        <f>IFERROR(SUMIFS(TME[[#All],[Total Truncated Claims Spending]],TME[[#All],[Reporting Year]],2020,TME[[#All],[Insurance Category Code]],5,TME[[#All],[Large Provider Entity Code]],AR107)/AT107,"NA")</f>
        <v>NA</v>
      </c>
      <c r="AW107" s="152" t="str">
        <f>IFERROR(SUMIFS(TME[[#All],[Total Non-Claims Spending]],TME[[#All],[Reporting Year]],2020,TME[[#All],[Insurance Category Code]],5,TME[[#All],[Large Provider Entity Code]],AR107)/AT107,"NA")</f>
        <v>NA</v>
      </c>
      <c r="AX107" s="152" t="str">
        <f>IFERROR(SUMIFS(TME[[#All],[Total Non-Truncated Claims and Non-Claims Spending]],TME[[#All],[Reporting Year]],2020,TME[[#All],[Insurance Category Code]],5,TME[[#All],[Large Provider Entity Code]],AR107)/AT107,"NA")</f>
        <v>NA</v>
      </c>
      <c r="AY107" s="152" t="str">
        <f>IFERROR(SUMIFS(TME[[#All],[Truncated Total Expenses (Total Truncated Claims Expenses + Non-Claims Expenses)]],TME[[#All],[Reporting Year]],2020,TME[[#All],[Insurance Category Code]],5,TME[[#All],[Large Provider Entity Code]],AR107)/AT107,"NA")</f>
        <v>NA</v>
      </c>
      <c r="AZ107" s="141">
        <f>SUMIFS(TME[[#All],[Member Months]],TME[[#All],[Reporting Year]],2021,TME[[#All],[Insurance Category Code]],5,TME[[#All],[Large Provider Entity Code]],AR107)</f>
        <v>0</v>
      </c>
      <c r="BA107" s="152" t="str">
        <f>IFERROR(SUMIFS(TME[[#All],[Total Non-Truncated Claims Spending]],TME[[#All],[Reporting Year]],2021,TME[[#All],[Insurance Category Code]],5,TME[[#All],[Large Provider Entity Code]],AR107)/AZ107,"NA")</f>
        <v>NA</v>
      </c>
      <c r="BB107" s="152" t="str">
        <f>IFERROR(SUMIFS(TME[[#All],[Total Truncated Claims Spending]],TME[[#All],[Reporting Year]],2021,TME[[#All],[Insurance Category Code]],5,TME[[#All],[Large Provider Entity Code]],AR107)/AZ107,"NA")</f>
        <v>NA</v>
      </c>
      <c r="BC107" s="152" t="str">
        <f>IFERROR(SUMIFS(TME[[#All],[Total Non-Claims Spending]],TME[[#All],[Reporting Year]],2021,TME[[#All],[Insurance Category Code]],5,TME[[#All],[Large Provider Entity Code]],AR107)/AZ107,"NA")</f>
        <v>NA</v>
      </c>
      <c r="BD107" s="152" t="str">
        <f>IFERROR(SUMIFS(TME[[#All],[Total Non-Truncated Claims and Non-Claims Spending]],TME[[#All],[Reporting Year]],2021,TME[[#All],[Insurance Category Code]],5,TME[[#All],[Large Provider Entity Code]],AR107)/AZ107,"NA")</f>
        <v>NA</v>
      </c>
      <c r="BE107" s="152" t="str">
        <f>IFERROR(SUMIFS(TME[[#All],[Truncated Total Expenses (Total Truncated Claims Expenses + Non-Claims Expenses)]],TME[[#All],[Reporting Year]],2021,TME[[#All],[Insurance Category Code]],5,TME[[#All],[Large Provider Entity Code]],AR107)/AZ107,"NA")</f>
        <v>NA</v>
      </c>
      <c r="BF107" s="154" t="str">
        <f t="shared" si="183"/>
        <v>NA</v>
      </c>
      <c r="BG107" s="154" t="str">
        <f t="shared" si="184"/>
        <v>NA</v>
      </c>
      <c r="BH107" s="154" t="str">
        <f t="shared" si="185"/>
        <v>NA</v>
      </c>
      <c r="BI107" s="154" t="str">
        <f t="shared" si="186"/>
        <v>NA</v>
      </c>
      <c r="BJ107" s="154" t="str">
        <f t="shared" si="187"/>
        <v>NA</v>
      </c>
      <c r="BK107" s="154" t="str">
        <f t="shared" si="188"/>
        <v>NA</v>
      </c>
    </row>
    <row r="108" spans="2:63" x14ac:dyDescent="0.35">
      <c r="B108" s="123">
        <v>106</v>
      </c>
      <c r="C108" s="103" t="s">
        <v>250</v>
      </c>
      <c r="D108" s="141">
        <f>SUMIFS(TME[[#All],[Member Months]],TME[[#All],[Reporting Year]],2018,TME[[#All],[Insurance Category Code]],5,TME[[#All],[Large Provider Entity Code]],B108)</f>
        <v>0</v>
      </c>
      <c r="E108" s="152" t="str">
        <f>IFERROR(SUMIFS(TME[[#All],[Total Non-Truncated Claims Spending]],TME[[#All],[Reporting Year]],2018,TME[[#All],[Insurance Category Code]],5,TME[[#All],[Large Provider Entity Code]],B108)/D108,"NA")</f>
        <v>NA</v>
      </c>
      <c r="F108" s="152" t="str">
        <f>IFERROR(SUMIFS(TME[[#All],[Total Truncated Claims Spending]],TME[[#All],[Reporting Year]],2018,TME[[#All],[Insurance Category Code]],5,TME[[#All],[Large Provider Entity Code]],B108)/D108,"NA")</f>
        <v>NA</v>
      </c>
      <c r="G108" s="152" t="str">
        <f>IFERROR(SUMIFS(TME[[#All],[Total Non-Claims Spending]],TME[[#All],[Reporting Year]],2018,TME[[#All],[Insurance Category Code]],5,TME[[#All],[Large Provider Entity Code]],B108)/D108,"NA")</f>
        <v>NA</v>
      </c>
      <c r="H108" s="152" t="str">
        <f>IFERROR(SUMIFS(TME[[#All],[Total Non-Truncated Claims and Non-Claims Spending]],TME[[#All],[Reporting Year]],2018,TME[[#All],[Insurance Category Code]],5,TME[[#All],[Large Provider Entity Code]],B108)/D108,"NA")</f>
        <v>NA</v>
      </c>
      <c r="I108" s="152" t="str">
        <f>IFERROR(SUMIFS(TME[[#All],[Truncated Total Expenses (Total Truncated Claims Expenses + Non-Claims Expenses)]],TME[[#All],[Reporting Year]],2018,TME[[#All],[Insurance Category Code]],5,TME[[#All],[Large Provider Entity Code]],B108)/D108,"NA")</f>
        <v>NA</v>
      </c>
      <c r="J108" s="141">
        <f>SUMIFS(TME[[#All],[Member Months]],TME[[#All],[Reporting Year]],2019,TME[[#All],[Insurance Category Code]],5,TME[[#All],[Large Provider Entity Code]],B108)</f>
        <v>0</v>
      </c>
      <c r="K108" s="152" t="str">
        <f>IFERROR(SUMIFS(TME[[#All],[Total Non-Truncated Claims Spending]],TME[[#All],[Reporting Year]],2019,TME[[#All],[Insurance Category Code]],5,TME[[#All],[Large Provider Entity Code]],B108)/J108,"NA")</f>
        <v>NA</v>
      </c>
      <c r="L108" s="152" t="str">
        <f>IFERROR(SUMIFS(TME[[#All],[Total Truncated Claims Spending]],TME[[#All],[Reporting Year]],2019,TME[[#All],[Insurance Category Code]],5,TME[[#All],[Large Provider Entity Code]],B108)/J108,"NA")</f>
        <v>NA</v>
      </c>
      <c r="M108" s="152" t="str">
        <f>IFERROR(SUMIFS(TME[[#All],[Total Non-Claims Spending]],TME[[#All],[Reporting Year]],2019,TME[[#All],[Insurance Category Code]],5,TME[[#All],[Large Provider Entity Code]],B108)/J108,"NA")</f>
        <v>NA</v>
      </c>
      <c r="N108" s="152" t="str">
        <f>IFERROR(SUMIFS(TME[[#All],[Total Non-Truncated Claims and Non-Claims Spending]],TME[[#All],[Reporting Year]],2019,TME[[#All],[Insurance Category Code]],5,TME[[#All],[Large Provider Entity Code]],B108)/J108,"NA")</f>
        <v>NA</v>
      </c>
      <c r="O108" s="152" t="str">
        <f>IFERROR(SUMIFS(TME[[#All],[Truncated Total Expenses (Total Truncated Claims Expenses + Non-Claims Expenses)]],TME[[#All],[Reporting Year]],2019,TME[[#All],[Insurance Category Code]],5,TME[[#All],[Large Provider Entity Code]],B108)/J108,"NA")</f>
        <v>NA</v>
      </c>
      <c r="P108" s="154" t="str">
        <f t="shared" si="171"/>
        <v>NA</v>
      </c>
      <c r="Q108" s="154" t="str">
        <f t="shared" si="172"/>
        <v>NA</v>
      </c>
      <c r="R108" s="154" t="str">
        <f t="shared" si="173"/>
        <v>NA</v>
      </c>
      <c r="S108" s="154" t="str">
        <f t="shared" si="174"/>
        <v>NA</v>
      </c>
      <c r="T108" s="154" t="str">
        <f t="shared" si="175"/>
        <v>NA</v>
      </c>
      <c r="U108" s="154" t="str">
        <f t="shared" si="176"/>
        <v>NA</v>
      </c>
      <c r="W108" s="123">
        <v>106</v>
      </c>
      <c r="X108" s="103" t="s">
        <v>250</v>
      </c>
      <c r="Y108" s="141">
        <f>SUMIFS(TME[[#All],[Member Months]],TME[[#All],[Reporting Year]],2019,TME[[#All],[Insurance Category Code]],5,TME[[#All],[Large Provider Entity Code]],W108)</f>
        <v>0</v>
      </c>
      <c r="Z108" s="152" t="str">
        <f>IFERROR(SUMIFS(TME[[#All],[Total Non-Truncated Claims Spending]],TME[[#All],[Reporting Year]],2019,TME[[#All],[Insurance Category Code]],5,TME[[#All],[Large Provider Entity Code]],W108)/Y108,"NA")</f>
        <v>NA</v>
      </c>
      <c r="AA108" s="152" t="str">
        <f>IFERROR(SUMIFS(TME[[#All],[Total Truncated Claims Spending]],TME[[#All],[Reporting Year]],2019,TME[[#All],[Insurance Category Code]],5,TME[[#All],[Large Provider Entity Code]],W108)/Y108,"NA")</f>
        <v>NA</v>
      </c>
      <c r="AB108" s="152" t="str">
        <f>IFERROR(SUMIFS(TME[[#All],[Total Non-Claims Spending]],TME[[#All],[Reporting Year]],2019,TME[[#All],[Insurance Category Code]],5,TME[[#All],[Large Provider Entity Code]],W108)/Y108,"NA")</f>
        <v>NA</v>
      </c>
      <c r="AC108" s="152" t="str">
        <f>IFERROR(SUMIFS(TME[[#All],[Total Non-Truncated Claims and Non-Claims Spending]],TME[[#All],[Reporting Year]],2019,TME[[#All],[Insurance Category Code]],5,TME[[#All],[Large Provider Entity Code]],W108)/Y108,"NA")</f>
        <v>NA</v>
      </c>
      <c r="AD108" s="152" t="str">
        <f>IFERROR(SUMIFS(TME[[#All],[Truncated Total Expenses (Total Truncated Claims Expenses + Non-Claims Expenses)]],TME[[#All],[Reporting Year]],2019,TME[[#All],[Insurance Category Code]],5,TME[[#All],[Large Provider Entity Code]],W108)/Y108,"NA")</f>
        <v>NA</v>
      </c>
      <c r="AE108" s="141">
        <f>SUMIFS(TME[[#All],[Member Months]],TME[[#All],[Reporting Year]],2020,TME[[#All],[Insurance Category Code]],5,TME[[#All],[Large Provider Entity Code]],W108)</f>
        <v>0</v>
      </c>
      <c r="AF108" s="152" t="str">
        <f>IFERROR(SUMIFS(TME[[#All],[Total Non-Truncated Claims Spending]],TME[[#All],[Reporting Year]],2020,TME[[#All],[Insurance Category Code]],5,TME[[#All],[Large Provider Entity Code]],W108)/AE108,"NA")</f>
        <v>NA</v>
      </c>
      <c r="AG108" s="152" t="str">
        <f>IFERROR(SUMIFS(TME[[#All],[Total Truncated Claims Spending]],TME[[#All],[Reporting Year]],2020,TME[[#All],[Insurance Category Code]],5,TME[[#All],[Large Provider Entity Code]],W108)/AE108,"NA")</f>
        <v>NA</v>
      </c>
      <c r="AH108" s="152" t="str">
        <f>IFERROR(SUMIFS(TME[[#All],[Total Non-Claims Spending]],TME[[#All],[Reporting Year]],2020,TME[[#All],[Insurance Category Code]],5,TME[[#All],[Large Provider Entity Code]],W108)/AE108,"NA")</f>
        <v>NA</v>
      </c>
      <c r="AI108" s="152" t="str">
        <f>IFERROR(SUMIFS(TME[[#All],[Total Non-Truncated Claims and Non-Claims Spending]],TME[[#All],[Reporting Year]],2020,TME[[#All],[Insurance Category Code]],5,TME[[#All],[Large Provider Entity Code]],W108)/AE108,"NA")</f>
        <v>NA</v>
      </c>
      <c r="AJ108" s="152" t="str">
        <f>IFERROR(SUMIFS(TME[[#All],[Truncated Total Expenses (Total Truncated Claims Expenses + Non-Claims Expenses)]],TME[[#All],[Reporting Year]],2020,TME[[#All],[Insurance Category Code]],5,TME[[#All],[Large Provider Entity Code]],W108)/AE108,"NA")</f>
        <v>NA</v>
      </c>
      <c r="AK108" s="154" t="str">
        <f t="shared" si="177"/>
        <v>NA</v>
      </c>
      <c r="AL108" s="154" t="str">
        <f t="shared" si="178"/>
        <v>NA</v>
      </c>
      <c r="AM108" s="154" t="str">
        <f t="shared" si="179"/>
        <v>NA</v>
      </c>
      <c r="AN108" s="154" t="str">
        <f t="shared" si="180"/>
        <v>NA</v>
      </c>
      <c r="AO108" s="154" t="str">
        <f t="shared" si="181"/>
        <v>NA</v>
      </c>
      <c r="AP108" s="154" t="str">
        <f t="shared" si="182"/>
        <v>NA</v>
      </c>
      <c r="AR108" s="123">
        <v>106</v>
      </c>
      <c r="AS108" s="103" t="s">
        <v>250</v>
      </c>
      <c r="AT108" s="141">
        <f>SUMIFS(TME[[#All],[Member Months]],TME[[#All],[Reporting Year]],2020,TME[[#All],[Insurance Category Code]],5,TME[[#All],[Large Provider Entity Code]],AR108)</f>
        <v>0</v>
      </c>
      <c r="AU108" s="152" t="str">
        <f>IFERROR(SUMIFS(TME[[#All],[Total Non-Truncated Claims Spending]],TME[[#All],[Reporting Year]],2020,TME[[#All],[Insurance Category Code]],5,TME[[#All],[Large Provider Entity Code]],AR108)/AT108,"NA")</f>
        <v>NA</v>
      </c>
      <c r="AV108" s="152" t="str">
        <f>IFERROR(SUMIFS(TME[[#All],[Total Truncated Claims Spending]],TME[[#All],[Reporting Year]],2020,TME[[#All],[Insurance Category Code]],5,TME[[#All],[Large Provider Entity Code]],AR108)/AT108,"NA")</f>
        <v>NA</v>
      </c>
      <c r="AW108" s="152" t="str">
        <f>IFERROR(SUMIFS(TME[[#All],[Total Non-Claims Spending]],TME[[#All],[Reporting Year]],2020,TME[[#All],[Insurance Category Code]],5,TME[[#All],[Large Provider Entity Code]],AR108)/AT108,"NA")</f>
        <v>NA</v>
      </c>
      <c r="AX108" s="152" t="str">
        <f>IFERROR(SUMIFS(TME[[#All],[Total Non-Truncated Claims and Non-Claims Spending]],TME[[#All],[Reporting Year]],2020,TME[[#All],[Insurance Category Code]],5,TME[[#All],[Large Provider Entity Code]],AR108)/AT108,"NA")</f>
        <v>NA</v>
      </c>
      <c r="AY108" s="152" t="str">
        <f>IFERROR(SUMIFS(TME[[#All],[Truncated Total Expenses (Total Truncated Claims Expenses + Non-Claims Expenses)]],TME[[#All],[Reporting Year]],2020,TME[[#All],[Insurance Category Code]],5,TME[[#All],[Large Provider Entity Code]],AR108)/AT108,"NA")</f>
        <v>NA</v>
      </c>
      <c r="AZ108" s="141">
        <f>SUMIFS(TME[[#All],[Member Months]],TME[[#All],[Reporting Year]],2021,TME[[#All],[Insurance Category Code]],5,TME[[#All],[Large Provider Entity Code]],AR108)</f>
        <v>0</v>
      </c>
      <c r="BA108" s="152" t="str">
        <f>IFERROR(SUMIFS(TME[[#All],[Total Non-Truncated Claims Spending]],TME[[#All],[Reporting Year]],2021,TME[[#All],[Insurance Category Code]],5,TME[[#All],[Large Provider Entity Code]],AR108)/AZ108,"NA")</f>
        <v>NA</v>
      </c>
      <c r="BB108" s="152" t="str">
        <f>IFERROR(SUMIFS(TME[[#All],[Total Truncated Claims Spending]],TME[[#All],[Reporting Year]],2021,TME[[#All],[Insurance Category Code]],5,TME[[#All],[Large Provider Entity Code]],AR108)/AZ108,"NA")</f>
        <v>NA</v>
      </c>
      <c r="BC108" s="152" t="str">
        <f>IFERROR(SUMIFS(TME[[#All],[Total Non-Claims Spending]],TME[[#All],[Reporting Year]],2021,TME[[#All],[Insurance Category Code]],5,TME[[#All],[Large Provider Entity Code]],AR108)/AZ108,"NA")</f>
        <v>NA</v>
      </c>
      <c r="BD108" s="152" t="str">
        <f>IFERROR(SUMIFS(TME[[#All],[Total Non-Truncated Claims and Non-Claims Spending]],TME[[#All],[Reporting Year]],2021,TME[[#All],[Insurance Category Code]],5,TME[[#All],[Large Provider Entity Code]],AR108)/AZ108,"NA")</f>
        <v>NA</v>
      </c>
      <c r="BE108" s="152" t="str">
        <f>IFERROR(SUMIFS(TME[[#All],[Truncated Total Expenses (Total Truncated Claims Expenses + Non-Claims Expenses)]],TME[[#All],[Reporting Year]],2021,TME[[#All],[Insurance Category Code]],5,TME[[#All],[Large Provider Entity Code]],AR108)/AZ108,"NA")</f>
        <v>NA</v>
      </c>
      <c r="BF108" s="154" t="str">
        <f t="shared" si="183"/>
        <v>NA</v>
      </c>
      <c r="BG108" s="154" t="str">
        <f t="shared" si="184"/>
        <v>NA</v>
      </c>
      <c r="BH108" s="154" t="str">
        <f t="shared" si="185"/>
        <v>NA</v>
      </c>
      <c r="BI108" s="154" t="str">
        <f t="shared" si="186"/>
        <v>NA</v>
      </c>
      <c r="BJ108" s="154" t="str">
        <f t="shared" si="187"/>
        <v>NA</v>
      </c>
      <c r="BK108" s="154" t="str">
        <f t="shared" si="188"/>
        <v>NA</v>
      </c>
    </row>
    <row r="109" spans="2:63" x14ac:dyDescent="0.35">
      <c r="B109" s="123">
        <v>107</v>
      </c>
      <c r="C109" s="103" t="s">
        <v>251</v>
      </c>
      <c r="D109" s="141">
        <f>SUMIFS(TME[[#All],[Member Months]],TME[[#All],[Reporting Year]],2018,TME[[#All],[Insurance Category Code]],5,TME[[#All],[Large Provider Entity Code]],B109)</f>
        <v>0</v>
      </c>
      <c r="E109" s="152" t="str">
        <f>IFERROR(SUMIFS(TME[[#All],[Total Non-Truncated Claims Spending]],TME[[#All],[Reporting Year]],2018,TME[[#All],[Insurance Category Code]],5,TME[[#All],[Large Provider Entity Code]],B109)/D109,"NA")</f>
        <v>NA</v>
      </c>
      <c r="F109" s="152" t="str">
        <f>IFERROR(SUMIFS(TME[[#All],[Total Truncated Claims Spending]],TME[[#All],[Reporting Year]],2018,TME[[#All],[Insurance Category Code]],5,TME[[#All],[Large Provider Entity Code]],B109)/D109,"NA")</f>
        <v>NA</v>
      </c>
      <c r="G109" s="152" t="str">
        <f>IFERROR(SUMIFS(TME[[#All],[Total Non-Claims Spending]],TME[[#All],[Reporting Year]],2018,TME[[#All],[Insurance Category Code]],5,TME[[#All],[Large Provider Entity Code]],B109)/D109,"NA")</f>
        <v>NA</v>
      </c>
      <c r="H109" s="152" t="str">
        <f>IFERROR(SUMIFS(TME[[#All],[Total Non-Truncated Claims and Non-Claims Spending]],TME[[#All],[Reporting Year]],2018,TME[[#All],[Insurance Category Code]],5,TME[[#All],[Large Provider Entity Code]],B109)/D109,"NA")</f>
        <v>NA</v>
      </c>
      <c r="I109" s="152" t="str">
        <f>IFERROR(SUMIFS(TME[[#All],[Truncated Total Expenses (Total Truncated Claims Expenses + Non-Claims Expenses)]],TME[[#All],[Reporting Year]],2018,TME[[#All],[Insurance Category Code]],5,TME[[#All],[Large Provider Entity Code]],B109)/D109,"NA")</f>
        <v>NA</v>
      </c>
      <c r="J109" s="141">
        <f>SUMIFS(TME[[#All],[Member Months]],TME[[#All],[Reporting Year]],2019,TME[[#All],[Insurance Category Code]],5,TME[[#All],[Large Provider Entity Code]],B109)</f>
        <v>0</v>
      </c>
      <c r="K109" s="152" t="str">
        <f>IFERROR(SUMIFS(TME[[#All],[Total Non-Truncated Claims Spending]],TME[[#All],[Reporting Year]],2019,TME[[#All],[Insurance Category Code]],5,TME[[#All],[Large Provider Entity Code]],B109)/J109,"NA")</f>
        <v>NA</v>
      </c>
      <c r="L109" s="152" t="str">
        <f>IFERROR(SUMIFS(TME[[#All],[Total Truncated Claims Spending]],TME[[#All],[Reporting Year]],2019,TME[[#All],[Insurance Category Code]],5,TME[[#All],[Large Provider Entity Code]],B109)/J109,"NA")</f>
        <v>NA</v>
      </c>
      <c r="M109" s="152" t="str">
        <f>IFERROR(SUMIFS(TME[[#All],[Total Non-Claims Spending]],TME[[#All],[Reporting Year]],2019,TME[[#All],[Insurance Category Code]],5,TME[[#All],[Large Provider Entity Code]],B109)/J109,"NA")</f>
        <v>NA</v>
      </c>
      <c r="N109" s="152" t="str">
        <f>IFERROR(SUMIFS(TME[[#All],[Total Non-Truncated Claims and Non-Claims Spending]],TME[[#All],[Reporting Year]],2019,TME[[#All],[Insurance Category Code]],5,TME[[#All],[Large Provider Entity Code]],B109)/J109,"NA")</f>
        <v>NA</v>
      </c>
      <c r="O109" s="152" t="str">
        <f>IFERROR(SUMIFS(TME[[#All],[Truncated Total Expenses (Total Truncated Claims Expenses + Non-Claims Expenses)]],TME[[#All],[Reporting Year]],2019,TME[[#All],[Insurance Category Code]],5,TME[[#All],[Large Provider Entity Code]],B109)/J109,"NA")</f>
        <v>NA</v>
      </c>
      <c r="P109" s="154" t="str">
        <f t="shared" si="171"/>
        <v>NA</v>
      </c>
      <c r="Q109" s="154" t="str">
        <f t="shared" si="172"/>
        <v>NA</v>
      </c>
      <c r="R109" s="154" t="str">
        <f t="shared" si="173"/>
        <v>NA</v>
      </c>
      <c r="S109" s="154" t="str">
        <f t="shared" si="174"/>
        <v>NA</v>
      </c>
      <c r="T109" s="154" t="str">
        <f t="shared" si="175"/>
        <v>NA</v>
      </c>
      <c r="U109" s="154" t="str">
        <f t="shared" si="176"/>
        <v>NA</v>
      </c>
      <c r="W109" s="123">
        <v>107</v>
      </c>
      <c r="X109" s="103" t="s">
        <v>251</v>
      </c>
      <c r="Y109" s="141">
        <f>SUMIFS(TME[[#All],[Member Months]],TME[[#All],[Reporting Year]],2019,TME[[#All],[Insurance Category Code]],5,TME[[#All],[Large Provider Entity Code]],W109)</f>
        <v>0</v>
      </c>
      <c r="Z109" s="152" t="str">
        <f>IFERROR(SUMIFS(TME[[#All],[Total Non-Truncated Claims Spending]],TME[[#All],[Reporting Year]],2019,TME[[#All],[Insurance Category Code]],5,TME[[#All],[Large Provider Entity Code]],W109)/Y109,"NA")</f>
        <v>NA</v>
      </c>
      <c r="AA109" s="152" t="str">
        <f>IFERROR(SUMIFS(TME[[#All],[Total Truncated Claims Spending]],TME[[#All],[Reporting Year]],2019,TME[[#All],[Insurance Category Code]],5,TME[[#All],[Large Provider Entity Code]],W109)/Y109,"NA")</f>
        <v>NA</v>
      </c>
      <c r="AB109" s="152" t="str">
        <f>IFERROR(SUMIFS(TME[[#All],[Total Non-Claims Spending]],TME[[#All],[Reporting Year]],2019,TME[[#All],[Insurance Category Code]],5,TME[[#All],[Large Provider Entity Code]],W109)/Y109,"NA")</f>
        <v>NA</v>
      </c>
      <c r="AC109" s="152" t="str">
        <f>IFERROR(SUMIFS(TME[[#All],[Total Non-Truncated Claims and Non-Claims Spending]],TME[[#All],[Reporting Year]],2019,TME[[#All],[Insurance Category Code]],5,TME[[#All],[Large Provider Entity Code]],W109)/Y109,"NA")</f>
        <v>NA</v>
      </c>
      <c r="AD109" s="152" t="str">
        <f>IFERROR(SUMIFS(TME[[#All],[Truncated Total Expenses (Total Truncated Claims Expenses + Non-Claims Expenses)]],TME[[#All],[Reporting Year]],2019,TME[[#All],[Insurance Category Code]],5,TME[[#All],[Large Provider Entity Code]],W109)/Y109,"NA")</f>
        <v>NA</v>
      </c>
      <c r="AE109" s="141">
        <f>SUMIFS(TME[[#All],[Member Months]],TME[[#All],[Reporting Year]],2020,TME[[#All],[Insurance Category Code]],5,TME[[#All],[Large Provider Entity Code]],W109)</f>
        <v>0</v>
      </c>
      <c r="AF109" s="152" t="str">
        <f>IFERROR(SUMIFS(TME[[#All],[Total Non-Truncated Claims Spending]],TME[[#All],[Reporting Year]],2020,TME[[#All],[Insurance Category Code]],5,TME[[#All],[Large Provider Entity Code]],W109)/AE109,"NA")</f>
        <v>NA</v>
      </c>
      <c r="AG109" s="152" t="str">
        <f>IFERROR(SUMIFS(TME[[#All],[Total Truncated Claims Spending]],TME[[#All],[Reporting Year]],2020,TME[[#All],[Insurance Category Code]],5,TME[[#All],[Large Provider Entity Code]],W109)/AE109,"NA")</f>
        <v>NA</v>
      </c>
      <c r="AH109" s="152" t="str">
        <f>IFERROR(SUMIFS(TME[[#All],[Total Non-Claims Spending]],TME[[#All],[Reporting Year]],2020,TME[[#All],[Insurance Category Code]],5,TME[[#All],[Large Provider Entity Code]],W109)/AE109,"NA")</f>
        <v>NA</v>
      </c>
      <c r="AI109" s="152" t="str">
        <f>IFERROR(SUMIFS(TME[[#All],[Total Non-Truncated Claims and Non-Claims Spending]],TME[[#All],[Reporting Year]],2020,TME[[#All],[Insurance Category Code]],5,TME[[#All],[Large Provider Entity Code]],W109)/AE109,"NA")</f>
        <v>NA</v>
      </c>
      <c r="AJ109" s="152" t="str">
        <f>IFERROR(SUMIFS(TME[[#All],[Truncated Total Expenses (Total Truncated Claims Expenses + Non-Claims Expenses)]],TME[[#All],[Reporting Year]],2020,TME[[#All],[Insurance Category Code]],5,TME[[#All],[Large Provider Entity Code]],W109)/AE109,"NA")</f>
        <v>NA</v>
      </c>
      <c r="AK109" s="154" t="str">
        <f t="shared" si="177"/>
        <v>NA</v>
      </c>
      <c r="AL109" s="154" t="str">
        <f t="shared" si="178"/>
        <v>NA</v>
      </c>
      <c r="AM109" s="154" t="str">
        <f t="shared" si="179"/>
        <v>NA</v>
      </c>
      <c r="AN109" s="154" t="str">
        <f t="shared" si="180"/>
        <v>NA</v>
      </c>
      <c r="AO109" s="154" t="str">
        <f t="shared" si="181"/>
        <v>NA</v>
      </c>
      <c r="AP109" s="154" t="str">
        <f t="shared" si="182"/>
        <v>NA</v>
      </c>
      <c r="AR109" s="123">
        <v>107</v>
      </c>
      <c r="AS109" s="103" t="s">
        <v>251</v>
      </c>
      <c r="AT109" s="141">
        <f>SUMIFS(TME[[#All],[Member Months]],TME[[#All],[Reporting Year]],2020,TME[[#All],[Insurance Category Code]],5,TME[[#All],[Large Provider Entity Code]],AR109)</f>
        <v>0</v>
      </c>
      <c r="AU109" s="152" t="str">
        <f>IFERROR(SUMIFS(TME[[#All],[Total Non-Truncated Claims Spending]],TME[[#All],[Reporting Year]],2020,TME[[#All],[Insurance Category Code]],5,TME[[#All],[Large Provider Entity Code]],AR109)/AT109,"NA")</f>
        <v>NA</v>
      </c>
      <c r="AV109" s="152" t="str">
        <f>IFERROR(SUMIFS(TME[[#All],[Total Truncated Claims Spending]],TME[[#All],[Reporting Year]],2020,TME[[#All],[Insurance Category Code]],5,TME[[#All],[Large Provider Entity Code]],AR109)/AT109,"NA")</f>
        <v>NA</v>
      </c>
      <c r="AW109" s="152" t="str">
        <f>IFERROR(SUMIFS(TME[[#All],[Total Non-Claims Spending]],TME[[#All],[Reporting Year]],2020,TME[[#All],[Insurance Category Code]],5,TME[[#All],[Large Provider Entity Code]],AR109)/AT109,"NA")</f>
        <v>NA</v>
      </c>
      <c r="AX109" s="152" t="str">
        <f>IFERROR(SUMIFS(TME[[#All],[Total Non-Truncated Claims and Non-Claims Spending]],TME[[#All],[Reporting Year]],2020,TME[[#All],[Insurance Category Code]],5,TME[[#All],[Large Provider Entity Code]],AR109)/AT109,"NA")</f>
        <v>NA</v>
      </c>
      <c r="AY109" s="152" t="str">
        <f>IFERROR(SUMIFS(TME[[#All],[Truncated Total Expenses (Total Truncated Claims Expenses + Non-Claims Expenses)]],TME[[#All],[Reporting Year]],2020,TME[[#All],[Insurance Category Code]],5,TME[[#All],[Large Provider Entity Code]],AR109)/AT109,"NA")</f>
        <v>NA</v>
      </c>
      <c r="AZ109" s="141">
        <f>SUMIFS(TME[[#All],[Member Months]],TME[[#All],[Reporting Year]],2021,TME[[#All],[Insurance Category Code]],5,TME[[#All],[Large Provider Entity Code]],AR109)</f>
        <v>0</v>
      </c>
      <c r="BA109" s="152" t="str">
        <f>IFERROR(SUMIFS(TME[[#All],[Total Non-Truncated Claims Spending]],TME[[#All],[Reporting Year]],2021,TME[[#All],[Insurance Category Code]],5,TME[[#All],[Large Provider Entity Code]],AR109)/AZ109,"NA")</f>
        <v>NA</v>
      </c>
      <c r="BB109" s="152" t="str">
        <f>IFERROR(SUMIFS(TME[[#All],[Total Truncated Claims Spending]],TME[[#All],[Reporting Year]],2021,TME[[#All],[Insurance Category Code]],5,TME[[#All],[Large Provider Entity Code]],AR109)/AZ109,"NA")</f>
        <v>NA</v>
      </c>
      <c r="BC109" s="152" t="str">
        <f>IFERROR(SUMIFS(TME[[#All],[Total Non-Claims Spending]],TME[[#All],[Reporting Year]],2021,TME[[#All],[Insurance Category Code]],5,TME[[#All],[Large Provider Entity Code]],AR109)/AZ109,"NA")</f>
        <v>NA</v>
      </c>
      <c r="BD109" s="152" t="str">
        <f>IFERROR(SUMIFS(TME[[#All],[Total Non-Truncated Claims and Non-Claims Spending]],TME[[#All],[Reporting Year]],2021,TME[[#All],[Insurance Category Code]],5,TME[[#All],[Large Provider Entity Code]],AR109)/AZ109,"NA")</f>
        <v>NA</v>
      </c>
      <c r="BE109" s="152" t="str">
        <f>IFERROR(SUMIFS(TME[[#All],[Truncated Total Expenses (Total Truncated Claims Expenses + Non-Claims Expenses)]],TME[[#All],[Reporting Year]],2021,TME[[#All],[Insurance Category Code]],5,TME[[#All],[Large Provider Entity Code]],AR109)/AZ109,"NA")</f>
        <v>NA</v>
      </c>
      <c r="BF109" s="154" t="str">
        <f t="shared" si="183"/>
        <v>NA</v>
      </c>
      <c r="BG109" s="154" t="str">
        <f t="shared" si="184"/>
        <v>NA</v>
      </c>
      <c r="BH109" s="154" t="str">
        <f t="shared" si="185"/>
        <v>NA</v>
      </c>
      <c r="BI109" s="154" t="str">
        <f t="shared" si="186"/>
        <v>NA</v>
      </c>
      <c r="BJ109" s="154" t="str">
        <f t="shared" si="187"/>
        <v>NA</v>
      </c>
      <c r="BK109" s="154" t="str">
        <f t="shared" si="188"/>
        <v>NA</v>
      </c>
    </row>
    <row r="110" spans="2:63" x14ac:dyDescent="0.35">
      <c r="B110" s="123">
        <v>108</v>
      </c>
      <c r="C110" s="103" t="s">
        <v>252</v>
      </c>
      <c r="D110" s="141">
        <f>SUMIFS(TME[[#All],[Member Months]],TME[[#All],[Reporting Year]],2018,TME[[#All],[Insurance Category Code]],5,TME[[#All],[Large Provider Entity Code]],B110)</f>
        <v>0</v>
      </c>
      <c r="E110" s="152" t="str">
        <f>IFERROR(SUMIFS(TME[[#All],[Total Non-Truncated Claims Spending]],TME[[#All],[Reporting Year]],2018,TME[[#All],[Insurance Category Code]],5,TME[[#All],[Large Provider Entity Code]],B110)/D110,"NA")</f>
        <v>NA</v>
      </c>
      <c r="F110" s="152" t="str">
        <f>IFERROR(SUMIFS(TME[[#All],[Total Truncated Claims Spending]],TME[[#All],[Reporting Year]],2018,TME[[#All],[Insurance Category Code]],5,TME[[#All],[Large Provider Entity Code]],B110)/D110,"NA")</f>
        <v>NA</v>
      </c>
      <c r="G110" s="152" t="str">
        <f>IFERROR(SUMIFS(TME[[#All],[Total Non-Claims Spending]],TME[[#All],[Reporting Year]],2018,TME[[#All],[Insurance Category Code]],5,TME[[#All],[Large Provider Entity Code]],B110)/D110,"NA")</f>
        <v>NA</v>
      </c>
      <c r="H110" s="152" t="str">
        <f>IFERROR(SUMIFS(TME[[#All],[Total Non-Truncated Claims and Non-Claims Spending]],TME[[#All],[Reporting Year]],2018,TME[[#All],[Insurance Category Code]],5,TME[[#All],[Large Provider Entity Code]],B110)/D110,"NA")</f>
        <v>NA</v>
      </c>
      <c r="I110" s="152" t="str">
        <f>IFERROR(SUMIFS(TME[[#All],[Truncated Total Expenses (Total Truncated Claims Expenses + Non-Claims Expenses)]],TME[[#All],[Reporting Year]],2018,TME[[#All],[Insurance Category Code]],5,TME[[#All],[Large Provider Entity Code]],B110)/D110,"NA")</f>
        <v>NA</v>
      </c>
      <c r="J110" s="141">
        <f>SUMIFS(TME[[#All],[Member Months]],TME[[#All],[Reporting Year]],2019,TME[[#All],[Insurance Category Code]],5,TME[[#All],[Large Provider Entity Code]],B110)</f>
        <v>0</v>
      </c>
      <c r="K110" s="152" t="str">
        <f>IFERROR(SUMIFS(TME[[#All],[Total Non-Truncated Claims Spending]],TME[[#All],[Reporting Year]],2019,TME[[#All],[Insurance Category Code]],5,TME[[#All],[Large Provider Entity Code]],B110)/J110,"NA")</f>
        <v>NA</v>
      </c>
      <c r="L110" s="152" t="str">
        <f>IFERROR(SUMIFS(TME[[#All],[Total Truncated Claims Spending]],TME[[#All],[Reporting Year]],2019,TME[[#All],[Insurance Category Code]],5,TME[[#All],[Large Provider Entity Code]],B110)/J110,"NA")</f>
        <v>NA</v>
      </c>
      <c r="M110" s="152" t="str">
        <f>IFERROR(SUMIFS(TME[[#All],[Total Non-Claims Spending]],TME[[#All],[Reporting Year]],2019,TME[[#All],[Insurance Category Code]],5,TME[[#All],[Large Provider Entity Code]],B110)/J110,"NA")</f>
        <v>NA</v>
      </c>
      <c r="N110" s="152" t="str">
        <f>IFERROR(SUMIFS(TME[[#All],[Total Non-Truncated Claims and Non-Claims Spending]],TME[[#All],[Reporting Year]],2019,TME[[#All],[Insurance Category Code]],5,TME[[#All],[Large Provider Entity Code]],B110)/J110,"NA")</f>
        <v>NA</v>
      </c>
      <c r="O110" s="152" t="str">
        <f>IFERROR(SUMIFS(TME[[#All],[Truncated Total Expenses (Total Truncated Claims Expenses + Non-Claims Expenses)]],TME[[#All],[Reporting Year]],2019,TME[[#All],[Insurance Category Code]],5,TME[[#All],[Large Provider Entity Code]],B110)/J110,"NA")</f>
        <v>NA</v>
      </c>
      <c r="P110" s="154" t="str">
        <f t="shared" si="171"/>
        <v>NA</v>
      </c>
      <c r="Q110" s="154" t="str">
        <f t="shared" si="172"/>
        <v>NA</v>
      </c>
      <c r="R110" s="154" t="str">
        <f t="shared" si="173"/>
        <v>NA</v>
      </c>
      <c r="S110" s="154" t="str">
        <f t="shared" si="174"/>
        <v>NA</v>
      </c>
      <c r="T110" s="154" t="str">
        <f t="shared" si="175"/>
        <v>NA</v>
      </c>
      <c r="U110" s="154" t="str">
        <f t="shared" si="176"/>
        <v>NA</v>
      </c>
      <c r="W110" s="123">
        <v>108</v>
      </c>
      <c r="X110" s="103" t="s">
        <v>252</v>
      </c>
      <c r="Y110" s="141">
        <f>SUMIFS(TME[[#All],[Member Months]],TME[[#All],[Reporting Year]],2019,TME[[#All],[Insurance Category Code]],5,TME[[#All],[Large Provider Entity Code]],W110)</f>
        <v>0</v>
      </c>
      <c r="Z110" s="152" t="str">
        <f>IFERROR(SUMIFS(TME[[#All],[Total Non-Truncated Claims Spending]],TME[[#All],[Reporting Year]],2019,TME[[#All],[Insurance Category Code]],5,TME[[#All],[Large Provider Entity Code]],W110)/Y110,"NA")</f>
        <v>NA</v>
      </c>
      <c r="AA110" s="152" t="str">
        <f>IFERROR(SUMIFS(TME[[#All],[Total Truncated Claims Spending]],TME[[#All],[Reporting Year]],2019,TME[[#All],[Insurance Category Code]],5,TME[[#All],[Large Provider Entity Code]],W110)/Y110,"NA")</f>
        <v>NA</v>
      </c>
      <c r="AB110" s="152" t="str">
        <f>IFERROR(SUMIFS(TME[[#All],[Total Non-Claims Spending]],TME[[#All],[Reporting Year]],2019,TME[[#All],[Insurance Category Code]],5,TME[[#All],[Large Provider Entity Code]],W110)/Y110,"NA")</f>
        <v>NA</v>
      </c>
      <c r="AC110" s="152" t="str">
        <f>IFERROR(SUMIFS(TME[[#All],[Total Non-Truncated Claims and Non-Claims Spending]],TME[[#All],[Reporting Year]],2019,TME[[#All],[Insurance Category Code]],5,TME[[#All],[Large Provider Entity Code]],W110)/Y110,"NA")</f>
        <v>NA</v>
      </c>
      <c r="AD110" s="152" t="str">
        <f>IFERROR(SUMIFS(TME[[#All],[Truncated Total Expenses (Total Truncated Claims Expenses + Non-Claims Expenses)]],TME[[#All],[Reporting Year]],2019,TME[[#All],[Insurance Category Code]],5,TME[[#All],[Large Provider Entity Code]],W110)/Y110,"NA")</f>
        <v>NA</v>
      </c>
      <c r="AE110" s="141">
        <f>SUMIFS(TME[[#All],[Member Months]],TME[[#All],[Reporting Year]],2020,TME[[#All],[Insurance Category Code]],5,TME[[#All],[Large Provider Entity Code]],W110)</f>
        <v>0</v>
      </c>
      <c r="AF110" s="152" t="str">
        <f>IFERROR(SUMIFS(TME[[#All],[Total Non-Truncated Claims Spending]],TME[[#All],[Reporting Year]],2020,TME[[#All],[Insurance Category Code]],5,TME[[#All],[Large Provider Entity Code]],W110)/AE110,"NA")</f>
        <v>NA</v>
      </c>
      <c r="AG110" s="152" t="str">
        <f>IFERROR(SUMIFS(TME[[#All],[Total Truncated Claims Spending]],TME[[#All],[Reporting Year]],2020,TME[[#All],[Insurance Category Code]],5,TME[[#All],[Large Provider Entity Code]],W110)/AE110,"NA")</f>
        <v>NA</v>
      </c>
      <c r="AH110" s="152" t="str">
        <f>IFERROR(SUMIFS(TME[[#All],[Total Non-Claims Spending]],TME[[#All],[Reporting Year]],2020,TME[[#All],[Insurance Category Code]],5,TME[[#All],[Large Provider Entity Code]],W110)/AE110,"NA")</f>
        <v>NA</v>
      </c>
      <c r="AI110" s="152" t="str">
        <f>IFERROR(SUMIFS(TME[[#All],[Total Non-Truncated Claims and Non-Claims Spending]],TME[[#All],[Reporting Year]],2020,TME[[#All],[Insurance Category Code]],5,TME[[#All],[Large Provider Entity Code]],W110)/AE110,"NA")</f>
        <v>NA</v>
      </c>
      <c r="AJ110" s="152" t="str">
        <f>IFERROR(SUMIFS(TME[[#All],[Truncated Total Expenses (Total Truncated Claims Expenses + Non-Claims Expenses)]],TME[[#All],[Reporting Year]],2020,TME[[#All],[Insurance Category Code]],5,TME[[#All],[Large Provider Entity Code]],W110)/AE110,"NA")</f>
        <v>NA</v>
      </c>
      <c r="AK110" s="154" t="str">
        <f t="shared" si="177"/>
        <v>NA</v>
      </c>
      <c r="AL110" s="154" t="str">
        <f t="shared" si="178"/>
        <v>NA</v>
      </c>
      <c r="AM110" s="154" t="str">
        <f t="shared" si="179"/>
        <v>NA</v>
      </c>
      <c r="AN110" s="154" t="str">
        <f t="shared" si="180"/>
        <v>NA</v>
      </c>
      <c r="AO110" s="154" t="str">
        <f t="shared" si="181"/>
        <v>NA</v>
      </c>
      <c r="AP110" s="154" t="str">
        <f t="shared" si="182"/>
        <v>NA</v>
      </c>
      <c r="AR110" s="123">
        <v>108</v>
      </c>
      <c r="AS110" s="103" t="s">
        <v>252</v>
      </c>
      <c r="AT110" s="141">
        <f>SUMIFS(TME[[#All],[Member Months]],TME[[#All],[Reporting Year]],2020,TME[[#All],[Insurance Category Code]],5,TME[[#All],[Large Provider Entity Code]],AR110)</f>
        <v>0</v>
      </c>
      <c r="AU110" s="152" t="str">
        <f>IFERROR(SUMIFS(TME[[#All],[Total Non-Truncated Claims Spending]],TME[[#All],[Reporting Year]],2020,TME[[#All],[Insurance Category Code]],5,TME[[#All],[Large Provider Entity Code]],AR110)/AT110,"NA")</f>
        <v>NA</v>
      </c>
      <c r="AV110" s="152" t="str">
        <f>IFERROR(SUMIFS(TME[[#All],[Total Truncated Claims Spending]],TME[[#All],[Reporting Year]],2020,TME[[#All],[Insurance Category Code]],5,TME[[#All],[Large Provider Entity Code]],AR110)/AT110,"NA")</f>
        <v>NA</v>
      </c>
      <c r="AW110" s="152" t="str">
        <f>IFERROR(SUMIFS(TME[[#All],[Total Non-Claims Spending]],TME[[#All],[Reporting Year]],2020,TME[[#All],[Insurance Category Code]],5,TME[[#All],[Large Provider Entity Code]],AR110)/AT110,"NA")</f>
        <v>NA</v>
      </c>
      <c r="AX110" s="152" t="str">
        <f>IFERROR(SUMIFS(TME[[#All],[Total Non-Truncated Claims and Non-Claims Spending]],TME[[#All],[Reporting Year]],2020,TME[[#All],[Insurance Category Code]],5,TME[[#All],[Large Provider Entity Code]],AR110)/AT110,"NA")</f>
        <v>NA</v>
      </c>
      <c r="AY110" s="152" t="str">
        <f>IFERROR(SUMIFS(TME[[#All],[Truncated Total Expenses (Total Truncated Claims Expenses + Non-Claims Expenses)]],TME[[#All],[Reporting Year]],2020,TME[[#All],[Insurance Category Code]],5,TME[[#All],[Large Provider Entity Code]],AR110)/AT110,"NA")</f>
        <v>NA</v>
      </c>
      <c r="AZ110" s="141">
        <f>SUMIFS(TME[[#All],[Member Months]],TME[[#All],[Reporting Year]],2021,TME[[#All],[Insurance Category Code]],5,TME[[#All],[Large Provider Entity Code]],AR110)</f>
        <v>0</v>
      </c>
      <c r="BA110" s="152" t="str">
        <f>IFERROR(SUMIFS(TME[[#All],[Total Non-Truncated Claims Spending]],TME[[#All],[Reporting Year]],2021,TME[[#All],[Insurance Category Code]],5,TME[[#All],[Large Provider Entity Code]],AR110)/AZ110,"NA")</f>
        <v>NA</v>
      </c>
      <c r="BB110" s="152" t="str">
        <f>IFERROR(SUMIFS(TME[[#All],[Total Truncated Claims Spending]],TME[[#All],[Reporting Year]],2021,TME[[#All],[Insurance Category Code]],5,TME[[#All],[Large Provider Entity Code]],AR110)/AZ110,"NA")</f>
        <v>NA</v>
      </c>
      <c r="BC110" s="152" t="str">
        <f>IFERROR(SUMIFS(TME[[#All],[Total Non-Claims Spending]],TME[[#All],[Reporting Year]],2021,TME[[#All],[Insurance Category Code]],5,TME[[#All],[Large Provider Entity Code]],AR110)/AZ110,"NA")</f>
        <v>NA</v>
      </c>
      <c r="BD110" s="152" t="str">
        <f>IFERROR(SUMIFS(TME[[#All],[Total Non-Truncated Claims and Non-Claims Spending]],TME[[#All],[Reporting Year]],2021,TME[[#All],[Insurance Category Code]],5,TME[[#All],[Large Provider Entity Code]],AR110)/AZ110,"NA")</f>
        <v>NA</v>
      </c>
      <c r="BE110" s="152" t="str">
        <f>IFERROR(SUMIFS(TME[[#All],[Truncated Total Expenses (Total Truncated Claims Expenses + Non-Claims Expenses)]],TME[[#All],[Reporting Year]],2021,TME[[#All],[Insurance Category Code]],5,TME[[#All],[Large Provider Entity Code]],AR110)/AZ110,"NA")</f>
        <v>NA</v>
      </c>
      <c r="BF110" s="154" t="str">
        <f t="shared" si="183"/>
        <v>NA</v>
      </c>
      <c r="BG110" s="154" t="str">
        <f t="shared" si="184"/>
        <v>NA</v>
      </c>
      <c r="BH110" s="154" t="str">
        <f t="shared" si="185"/>
        <v>NA</v>
      </c>
      <c r="BI110" s="154" t="str">
        <f t="shared" si="186"/>
        <v>NA</v>
      </c>
      <c r="BJ110" s="154" t="str">
        <f t="shared" si="187"/>
        <v>NA</v>
      </c>
      <c r="BK110" s="154" t="str">
        <f t="shared" si="188"/>
        <v>NA</v>
      </c>
    </row>
    <row r="111" spans="2:63" x14ac:dyDescent="0.35">
      <c r="B111" s="123">
        <v>109</v>
      </c>
      <c r="C111" s="103" t="s">
        <v>253</v>
      </c>
      <c r="D111" s="141">
        <f>SUMIFS(TME[[#All],[Member Months]],TME[[#All],[Reporting Year]],2018,TME[[#All],[Insurance Category Code]],5,TME[[#All],[Large Provider Entity Code]],B111)</f>
        <v>0</v>
      </c>
      <c r="E111" s="152" t="str">
        <f>IFERROR(SUMIFS(TME[[#All],[Total Non-Truncated Claims Spending]],TME[[#All],[Reporting Year]],2018,TME[[#All],[Insurance Category Code]],5,TME[[#All],[Large Provider Entity Code]],B111)/D111,"NA")</f>
        <v>NA</v>
      </c>
      <c r="F111" s="152" t="str">
        <f>IFERROR(SUMIFS(TME[[#All],[Total Truncated Claims Spending]],TME[[#All],[Reporting Year]],2018,TME[[#All],[Insurance Category Code]],5,TME[[#All],[Large Provider Entity Code]],B111)/D111,"NA")</f>
        <v>NA</v>
      </c>
      <c r="G111" s="152" t="str">
        <f>IFERROR(SUMIFS(TME[[#All],[Total Non-Claims Spending]],TME[[#All],[Reporting Year]],2018,TME[[#All],[Insurance Category Code]],5,TME[[#All],[Large Provider Entity Code]],B111)/D111,"NA")</f>
        <v>NA</v>
      </c>
      <c r="H111" s="152" t="str">
        <f>IFERROR(SUMIFS(TME[[#All],[Total Non-Truncated Claims and Non-Claims Spending]],TME[[#All],[Reporting Year]],2018,TME[[#All],[Insurance Category Code]],5,TME[[#All],[Large Provider Entity Code]],B111)/D111,"NA")</f>
        <v>NA</v>
      </c>
      <c r="I111" s="152" t="str">
        <f>IFERROR(SUMIFS(TME[[#All],[Truncated Total Expenses (Total Truncated Claims Expenses + Non-Claims Expenses)]],TME[[#All],[Reporting Year]],2018,TME[[#All],[Insurance Category Code]],5,TME[[#All],[Large Provider Entity Code]],B111)/D111,"NA")</f>
        <v>NA</v>
      </c>
      <c r="J111" s="141">
        <f>SUMIFS(TME[[#All],[Member Months]],TME[[#All],[Reporting Year]],2019,TME[[#All],[Insurance Category Code]],5,TME[[#All],[Large Provider Entity Code]],B111)</f>
        <v>0</v>
      </c>
      <c r="K111" s="152" t="str">
        <f>IFERROR(SUMIFS(TME[[#All],[Total Non-Truncated Claims Spending]],TME[[#All],[Reporting Year]],2019,TME[[#All],[Insurance Category Code]],5,TME[[#All],[Large Provider Entity Code]],B111)/J111,"NA")</f>
        <v>NA</v>
      </c>
      <c r="L111" s="152" t="str">
        <f>IFERROR(SUMIFS(TME[[#All],[Total Truncated Claims Spending]],TME[[#All],[Reporting Year]],2019,TME[[#All],[Insurance Category Code]],5,TME[[#All],[Large Provider Entity Code]],B111)/J111,"NA")</f>
        <v>NA</v>
      </c>
      <c r="M111" s="152" t="str">
        <f>IFERROR(SUMIFS(TME[[#All],[Total Non-Claims Spending]],TME[[#All],[Reporting Year]],2019,TME[[#All],[Insurance Category Code]],5,TME[[#All],[Large Provider Entity Code]],B111)/J111,"NA")</f>
        <v>NA</v>
      </c>
      <c r="N111" s="152" t="str">
        <f>IFERROR(SUMIFS(TME[[#All],[Total Non-Truncated Claims and Non-Claims Spending]],TME[[#All],[Reporting Year]],2019,TME[[#All],[Insurance Category Code]],5,TME[[#All],[Large Provider Entity Code]],B111)/J111,"NA")</f>
        <v>NA</v>
      </c>
      <c r="O111" s="152" t="str">
        <f>IFERROR(SUMIFS(TME[[#All],[Truncated Total Expenses (Total Truncated Claims Expenses + Non-Claims Expenses)]],TME[[#All],[Reporting Year]],2019,TME[[#All],[Insurance Category Code]],5,TME[[#All],[Large Provider Entity Code]],B111)/J111,"NA")</f>
        <v>NA</v>
      </c>
      <c r="P111" s="154" t="str">
        <f t="shared" si="171"/>
        <v>NA</v>
      </c>
      <c r="Q111" s="154" t="str">
        <f t="shared" si="172"/>
        <v>NA</v>
      </c>
      <c r="R111" s="154" t="str">
        <f t="shared" si="173"/>
        <v>NA</v>
      </c>
      <c r="S111" s="154" t="str">
        <f t="shared" si="174"/>
        <v>NA</v>
      </c>
      <c r="T111" s="154" t="str">
        <f t="shared" si="175"/>
        <v>NA</v>
      </c>
      <c r="U111" s="154" t="str">
        <f t="shared" si="176"/>
        <v>NA</v>
      </c>
      <c r="W111" s="123">
        <v>109</v>
      </c>
      <c r="X111" s="103" t="s">
        <v>253</v>
      </c>
      <c r="Y111" s="141">
        <f>SUMIFS(TME[[#All],[Member Months]],TME[[#All],[Reporting Year]],2019,TME[[#All],[Insurance Category Code]],5,TME[[#All],[Large Provider Entity Code]],W111)</f>
        <v>0</v>
      </c>
      <c r="Z111" s="152" t="str">
        <f>IFERROR(SUMIFS(TME[[#All],[Total Non-Truncated Claims Spending]],TME[[#All],[Reporting Year]],2019,TME[[#All],[Insurance Category Code]],5,TME[[#All],[Large Provider Entity Code]],W111)/Y111,"NA")</f>
        <v>NA</v>
      </c>
      <c r="AA111" s="152" t="str">
        <f>IFERROR(SUMIFS(TME[[#All],[Total Truncated Claims Spending]],TME[[#All],[Reporting Year]],2019,TME[[#All],[Insurance Category Code]],5,TME[[#All],[Large Provider Entity Code]],W111)/Y111,"NA")</f>
        <v>NA</v>
      </c>
      <c r="AB111" s="152" t="str">
        <f>IFERROR(SUMIFS(TME[[#All],[Total Non-Claims Spending]],TME[[#All],[Reporting Year]],2019,TME[[#All],[Insurance Category Code]],5,TME[[#All],[Large Provider Entity Code]],W111)/Y111,"NA")</f>
        <v>NA</v>
      </c>
      <c r="AC111" s="152" t="str">
        <f>IFERROR(SUMIFS(TME[[#All],[Total Non-Truncated Claims and Non-Claims Spending]],TME[[#All],[Reporting Year]],2019,TME[[#All],[Insurance Category Code]],5,TME[[#All],[Large Provider Entity Code]],W111)/Y111,"NA")</f>
        <v>NA</v>
      </c>
      <c r="AD111" s="152" t="str">
        <f>IFERROR(SUMIFS(TME[[#All],[Truncated Total Expenses (Total Truncated Claims Expenses + Non-Claims Expenses)]],TME[[#All],[Reporting Year]],2019,TME[[#All],[Insurance Category Code]],5,TME[[#All],[Large Provider Entity Code]],W111)/Y111,"NA")</f>
        <v>NA</v>
      </c>
      <c r="AE111" s="141">
        <f>SUMIFS(TME[[#All],[Member Months]],TME[[#All],[Reporting Year]],2020,TME[[#All],[Insurance Category Code]],5,TME[[#All],[Large Provider Entity Code]],W111)</f>
        <v>0</v>
      </c>
      <c r="AF111" s="152" t="str">
        <f>IFERROR(SUMIFS(TME[[#All],[Total Non-Truncated Claims Spending]],TME[[#All],[Reporting Year]],2020,TME[[#All],[Insurance Category Code]],5,TME[[#All],[Large Provider Entity Code]],W111)/AE111,"NA")</f>
        <v>NA</v>
      </c>
      <c r="AG111" s="152" t="str">
        <f>IFERROR(SUMIFS(TME[[#All],[Total Truncated Claims Spending]],TME[[#All],[Reporting Year]],2020,TME[[#All],[Insurance Category Code]],5,TME[[#All],[Large Provider Entity Code]],W111)/AE111,"NA")</f>
        <v>NA</v>
      </c>
      <c r="AH111" s="152" t="str">
        <f>IFERROR(SUMIFS(TME[[#All],[Total Non-Claims Spending]],TME[[#All],[Reporting Year]],2020,TME[[#All],[Insurance Category Code]],5,TME[[#All],[Large Provider Entity Code]],W111)/AE111,"NA")</f>
        <v>NA</v>
      </c>
      <c r="AI111" s="152" t="str">
        <f>IFERROR(SUMIFS(TME[[#All],[Total Non-Truncated Claims and Non-Claims Spending]],TME[[#All],[Reporting Year]],2020,TME[[#All],[Insurance Category Code]],5,TME[[#All],[Large Provider Entity Code]],W111)/AE111,"NA")</f>
        <v>NA</v>
      </c>
      <c r="AJ111" s="152" t="str">
        <f>IFERROR(SUMIFS(TME[[#All],[Truncated Total Expenses (Total Truncated Claims Expenses + Non-Claims Expenses)]],TME[[#All],[Reporting Year]],2020,TME[[#All],[Insurance Category Code]],5,TME[[#All],[Large Provider Entity Code]],W111)/AE111,"NA")</f>
        <v>NA</v>
      </c>
      <c r="AK111" s="154" t="str">
        <f t="shared" si="177"/>
        <v>NA</v>
      </c>
      <c r="AL111" s="154" t="str">
        <f t="shared" si="178"/>
        <v>NA</v>
      </c>
      <c r="AM111" s="154" t="str">
        <f t="shared" si="179"/>
        <v>NA</v>
      </c>
      <c r="AN111" s="154" t="str">
        <f t="shared" si="180"/>
        <v>NA</v>
      </c>
      <c r="AO111" s="154" t="str">
        <f t="shared" si="181"/>
        <v>NA</v>
      </c>
      <c r="AP111" s="154" t="str">
        <f t="shared" si="182"/>
        <v>NA</v>
      </c>
      <c r="AR111" s="123">
        <v>109</v>
      </c>
      <c r="AS111" s="103" t="s">
        <v>253</v>
      </c>
      <c r="AT111" s="141">
        <f>SUMIFS(TME[[#All],[Member Months]],TME[[#All],[Reporting Year]],2020,TME[[#All],[Insurance Category Code]],5,TME[[#All],[Large Provider Entity Code]],AR111)</f>
        <v>0</v>
      </c>
      <c r="AU111" s="152" t="str">
        <f>IFERROR(SUMIFS(TME[[#All],[Total Non-Truncated Claims Spending]],TME[[#All],[Reporting Year]],2020,TME[[#All],[Insurance Category Code]],5,TME[[#All],[Large Provider Entity Code]],AR111)/AT111,"NA")</f>
        <v>NA</v>
      </c>
      <c r="AV111" s="152" t="str">
        <f>IFERROR(SUMIFS(TME[[#All],[Total Truncated Claims Spending]],TME[[#All],[Reporting Year]],2020,TME[[#All],[Insurance Category Code]],5,TME[[#All],[Large Provider Entity Code]],AR111)/AT111,"NA")</f>
        <v>NA</v>
      </c>
      <c r="AW111" s="152" t="str">
        <f>IFERROR(SUMIFS(TME[[#All],[Total Non-Claims Spending]],TME[[#All],[Reporting Year]],2020,TME[[#All],[Insurance Category Code]],5,TME[[#All],[Large Provider Entity Code]],AR111)/AT111,"NA")</f>
        <v>NA</v>
      </c>
      <c r="AX111" s="152" t="str">
        <f>IFERROR(SUMIFS(TME[[#All],[Total Non-Truncated Claims and Non-Claims Spending]],TME[[#All],[Reporting Year]],2020,TME[[#All],[Insurance Category Code]],5,TME[[#All],[Large Provider Entity Code]],AR111)/AT111,"NA")</f>
        <v>NA</v>
      </c>
      <c r="AY111" s="152" t="str">
        <f>IFERROR(SUMIFS(TME[[#All],[Truncated Total Expenses (Total Truncated Claims Expenses + Non-Claims Expenses)]],TME[[#All],[Reporting Year]],2020,TME[[#All],[Insurance Category Code]],5,TME[[#All],[Large Provider Entity Code]],AR111)/AT111,"NA")</f>
        <v>NA</v>
      </c>
      <c r="AZ111" s="141">
        <f>SUMIFS(TME[[#All],[Member Months]],TME[[#All],[Reporting Year]],2021,TME[[#All],[Insurance Category Code]],5,TME[[#All],[Large Provider Entity Code]],AR111)</f>
        <v>0</v>
      </c>
      <c r="BA111" s="152" t="str">
        <f>IFERROR(SUMIFS(TME[[#All],[Total Non-Truncated Claims Spending]],TME[[#All],[Reporting Year]],2021,TME[[#All],[Insurance Category Code]],5,TME[[#All],[Large Provider Entity Code]],AR111)/AZ111,"NA")</f>
        <v>NA</v>
      </c>
      <c r="BB111" s="152" t="str">
        <f>IFERROR(SUMIFS(TME[[#All],[Total Truncated Claims Spending]],TME[[#All],[Reporting Year]],2021,TME[[#All],[Insurance Category Code]],5,TME[[#All],[Large Provider Entity Code]],AR111)/AZ111,"NA")</f>
        <v>NA</v>
      </c>
      <c r="BC111" s="152" t="str">
        <f>IFERROR(SUMIFS(TME[[#All],[Total Non-Claims Spending]],TME[[#All],[Reporting Year]],2021,TME[[#All],[Insurance Category Code]],5,TME[[#All],[Large Provider Entity Code]],AR111)/AZ111,"NA")</f>
        <v>NA</v>
      </c>
      <c r="BD111" s="152" t="str">
        <f>IFERROR(SUMIFS(TME[[#All],[Total Non-Truncated Claims and Non-Claims Spending]],TME[[#All],[Reporting Year]],2021,TME[[#All],[Insurance Category Code]],5,TME[[#All],[Large Provider Entity Code]],AR111)/AZ111,"NA")</f>
        <v>NA</v>
      </c>
      <c r="BE111" s="152" t="str">
        <f>IFERROR(SUMIFS(TME[[#All],[Truncated Total Expenses (Total Truncated Claims Expenses + Non-Claims Expenses)]],TME[[#All],[Reporting Year]],2021,TME[[#All],[Insurance Category Code]],5,TME[[#All],[Large Provider Entity Code]],AR111)/AZ111,"NA")</f>
        <v>NA</v>
      </c>
      <c r="BF111" s="154" t="str">
        <f t="shared" si="183"/>
        <v>NA</v>
      </c>
      <c r="BG111" s="154" t="str">
        <f t="shared" si="184"/>
        <v>NA</v>
      </c>
      <c r="BH111" s="154" t="str">
        <f t="shared" si="185"/>
        <v>NA</v>
      </c>
      <c r="BI111" s="154" t="str">
        <f t="shared" si="186"/>
        <v>NA</v>
      </c>
      <c r="BJ111" s="154" t="str">
        <f t="shared" si="187"/>
        <v>NA</v>
      </c>
      <c r="BK111" s="154" t="str">
        <f t="shared" si="188"/>
        <v>NA</v>
      </c>
    </row>
    <row r="112" spans="2:63" x14ac:dyDescent="0.35">
      <c r="B112" s="123">
        <v>110</v>
      </c>
      <c r="C112" s="103" t="s">
        <v>294</v>
      </c>
      <c r="D112" s="141">
        <f>SUMIFS(TME[[#All],[Member Months]],TME[[#All],[Reporting Year]],2018,TME[[#All],[Insurance Category Code]],5,TME[[#All],[Large Provider Entity Code]],B112)</f>
        <v>0</v>
      </c>
      <c r="E112" s="152" t="str">
        <f>IFERROR(SUMIFS(TME[[#All],[Total Non-Truncated Claims Spending]],TME[[#All],[Reporting Year]],2018,TME[[#All],[Insurance Category Code]],5,TME[[#All],[Large Provider Entity Code]],B112)/D112,"NA")</f>
        <v>NA</v>
      </c>
      <c r="F112" s="152" t="str">
        <f>IFERROR(SUMIFS(TME[[#All],[Total Truncated Claims Spending]],TME[[#All],[Reporting Year]],2018,TME[[#All],[Insurance Category Code]],5,TME[[#All],[Large Provider Entity Code]],B112)/D112,"NA")</f>
        <v>NA</v>
      </c>
      <c r="G112" s="152" t="str">
        <f>IFERROR(SUMIFS(TME[[#All],[Total Non-Claims Spending]],TME[[#All],[Reporting Year]],2018,TME[[#All],[Insurance Category Code]],5,TME[[#All],[Large Provider Entity Code]],B112)/D112,"NA")</f>
        <v>NA</v>
      </c>
      <c r="H112" s="152" t="str">
        <f>IFERROR(SUMIFS(TME[[#All],[Total Non-Truncated Claims and Non-Claims Spending]],TME[[#All],[Reporting Year]],2018,TME[[#All],[Insurance Category Code]],5,TME[[#All],[Large Provider Entity Code]],B112)/D112,"NA")</f>
        <v>NA</v>
      </c>
      <c r="I112" s="152" t="str">
        <f>IFERROR(SUMIFS(TME[[#All],[Truncated Total Expenses (Total Truncated Claims Expenses + Non-Claims Expenses)]],TME[[#All],[Reporting Year]],2018,TME[[#All],[Insurance Category Code]],5,TME[[#All],[Large Provider Entity Code]],B112)/D112,"NA")</f>
        <v>NA</v>
      </c>
      <c r="J112" s="141">
        <f>SUMIFS(TME[[#All],[Member Months]],TME[[#All],[Reporting Year]],2019,TME[[#All],[Insurance Category Code]],5,TME[[#All],[Large Provider Entity Code]],B112)</f>
        <v>0</v>
      </c>
      <c r="K112" s="152" t="str">
        <f>IFERROR(SUMIFS(TME[[#All],[Total Non-Truncated Claims Spending]],TME[[#All],[Reporting Year]],2019,TME[[#All],[Insurance Category Code]],5,TME[[#All],[Large Provider Entity Code]],B112)/J112,"NA")</f>
        <v>NA</v>
      </c>
      <c r="L112" s="152" t="str">
        <f>IFERROR(SUMIFS(TME[[#All],[Total Truncated Claims Spending]],TME[[#All],[Reporting Year]],2019,TME[[#All],[Insurance Category Code]],5,TME[[#All],[Large Provider Entity Code]],B112)/J112,"NA")</f>
        <v>NA</v>
      </c>
      <c r="M112" s="152" t="str">
        <f>IFERROR(SUMIFS(TME[[#All],[Total Non-Claims Spending]],TME[[#All],[Reporting Year]],2019,TME[[#All],[Insurance Category Code]],5,TME[[#All],[Large Provider Entity Code]],B112)/J112,"NA")</f>
        <v>NA</v>
      </c>
      <c r="N112" s="152" t="str">
        <f>IFERROR(SUMIFS(TME[[#All],[Total Non-Truncated Claims and Non-Claims Spending]],TME[[#All],[Reporting Year]],2019,TME[[#All],[Insurance Category Code]],5,TME[[#All],[Large Provider Entity Code]],B112)/J112,"NA")</f>
        <v>NA</v>
      </c>
      <c r="O112" s="152" t="str">
        <f>IFERROR(SUMIFS(TME[[#All],[Truncated Total Expenses (Total Truncated Claims Expenses + Non-Claims Expenses)]],TME[[#All],[Reporting Year]],2019,TME[[#All],[Insurance Category Code]],5,TME[[#All],[Large Provider Entity Code]],B112)/J112,"NA")</f>
        <v>NA</v>
      </c>
      <c r="P112" s="154" t="str">
        <f t="shared" si="171"/>
        <v>NA</v>
      </c>
      <c r="Q112" s="154" t="str">
        <f t="shared" si="172"/>
        <v>NA</v>
      </c>
      <c r="R112" s="154" t="str">
        <f t="shared" si="173"/>
        <v>NA</v>
      </c>
      <c r="S112" s="154" t="str">
        <f t="shared" si="174"/>
        <v>NA</v>
      </c>
      <c r="T112" s="154" t="str">
        <f t="shared" si="175"/>
        <v>NA</v>
      </c>
      <c r="U112" s="154" t="str">
        <f t="shared" si="176"/>
        <v>NA</v>
      </c>
      <c r="W112" s="123">
        <v>110</v>
      </c>
      <c r="X112" s="103" t="s">
        <v>294</v>
      </c>
      <c r="Y112" s="141">
        <f>SUMIFS(TME[[#All],[Member Months]],TME[[#All],[Reporting Year]],2019,TME[[#All],[Insurance Category Code]],5,TME[[#All],[Large Provider Entity Code]],W112)</f>
        <v>0</v>
      </c>
      <c r="Z112" s="152" t="str">
        <f>IFERROR(SUMIFS(TME[[#All],[Total Non-Truncated Claims Spending]],TME[[#All],[Reporting Year]],2019,TME[[#All],[Insurance Category Code]],5,TME[[#All],[Large Provider Entity Code]],W112)/Y112,"NA")</f>
        <v>NA</v>
      </c>
      <c r="AA112" s="152" t="str">
        <f>IFERROR(SUMIFS(TME[[#All],[Total Truncated Claims Spending]],TME[[#All],[Reporting Year]],2019,TME[[#All],[Insurance Category Code]],5,TME[[#All],[Large Provider Entity Code]],W112)/Y112,"NA")</f>
        <v>NA</v>
      </c>
      <c r="AB112" s="152" t="str">
        <f>IFERROR(SUMIFS(TME[[#All],[Total Non-Claims Spending]],TME[[#All],[Reporting Year]],2019,TME[[#All],[Insurance Category Code]],5,TME[[#All],[Large Provider Entity Code]],W112)/Y112,"NA")</f>
        <v>NA</v>
      </c>
      <c r="AC112" s="152" t="str">
        <f>IFERROR(SUMIFS(TME[[#All],[Total Non-Truncated Claims and Non-Claims Spending]],TME[[#All],[Reporting Year]],2019,TME[[#All],[Insurance Category Code]],5,TME[[#All],[Large Provider Entity Code]],W112)/Y112,"NA")</f>
        <v>NA</v>
      </c>
      <c r="AD112" s="152" t="str">
        <f>IFERROR(SUMIFS(TME[[#All],[Truncated Total Expenses (Total Truncated Claims Expenses + Non-Claims Expenses)]],TME[[#All],[Reporting Year]],2019,TME[[#All],[Insurance Category Code]],5,TME[[#All],[Large Provider Entity Code]],W112)/Y112,"NA")</f>
        <v>NA</v>
      </c>
      <c r="AE112" s="141">
        <f>SUMIFS(TME[[#All],[Member Months]],TME[[#All],[Reporting Year]],2020,TME[[#All],[Insurance Category Code]],5,TME[[#All],[Large Provider Entity Code]],W112)</f>
        <v>0</v>
      </c>
      <c r="AF112" s="152" t="str">
        <f>IFERROR(SUMIFS(TME[[#All],[Total Non-Truncated Claims Spending]],TME[[#All],[Reporting Year]],2020,TME[[#All],[Insurance Category Code]],5,TME[[#All],[Large Provider Entity Code]],W112)/AE112,"NA")</f>
        <v>NA</v>
      </c>
      <c r="AG112" s="152" t="str">
        <f>IFERROR(SUMIFS(TME[[#All],[Total Truncated Claims Spending]],TME[[#All],[Reporting Year]],2020,TME[[#All],[Insurance Category Code]],5,TME[[#All],[Large Provider Entity Code]],W112)/AE112,"NA")</f>
        <v>NA</v>
      </c>
      <c r="AH112" s="152" t="str">
        <f>IFERROR(SUMIFS(TME[[#All],[Total Non-Claims Spending]],TME[[#All],[Reporting Year]],2020,TME[[#All],[Insurance Category Code]],5,TME[[#All],[Large Provider Entity Code]],W112)/AE112,"NA")</f>
        <v>NA</v>
      </c>
      <c r="AI112" s="152" t="str">
        <f>IFERROR(SUMIFS(TME[[#All],[Total Non-Truncated Claims and Non-Claims Spending]],TME[[#All],[Reporting Year]],2020,TME[[#All],[Insurance Category Code]],5,TME[[#All],[Large Provider Entity Code]],W112)/AE112,"NA")</f>
        <v>NA</v>
      </c>
      <c r="AJ112" s="152" t="str">
        <f>IFERROR(SUMIFS(TME[[#All],[Truncated Total Expenses (Total Truncated Claims Expenses + Non-Claims Expenses)]],TME[[#All],[Reporting Year]],2020,TME[[#All],[Insurance Category Code]],5,TME[[#All],[Large Provider Entity Code]],W112)/AE112,"NA")</f>
        <v>NA</v>
      </c>
      <c r="AK112" s="154" t="str">
        <f t="shared" si="177"/>
        <v>NA</v>
      </c>
      <c r="AL112" s="154" t="str">
        <f t="shared" si="178"/>
        <v>NA</v>
      </c>
      <c r="AM112" s="154" t="str">
        <f t="shared" si="179"/>
        <v>NA</v>
      </c>
      <c r="AN112" s="154" t="str">
        <f t="shared" si="180"/>
        <v>NA</v>
      </c>
      <c r="AO112" s="154" t="str">
        <f t="shared" si="181"/>
        <v>NA</v>
      </c>
      <c r="AP112" s="154" t="str">
        <f t="shared" si="182"/>
        <v>NA</v>
      </c>
      <c r="AR112" s="123">
        <v>110</v>
      </c>
      <c r="AS112" s="103" t="s">
        <v>294</v>
      </c>
      <c r="AT112" s="141">
        <f>SUMIFS(TME[[#All],[Member Months]],TME[[#All],[Reporting Year]],2020,TME[[#All],[Insurance Category Code]],5,TME[[#All],[Large Provider Entity Code]],AR112)</f>
        <v>0</v>
      </c>
      <c r="AU112" s="152" t="str">
        <f>IFERROR(SUMIFS(TME[[#All],[Total Non-Truncated Claims Spending]],TME[[#All],[Reporting Year]],2020,TME[[#All],[Insurance Category Code]],5,TME[[#All],[Large Provider Entity Code]],AR112)/AT112,"NA")</f>
        <v>NA</v>
      </c>
      <c r="AV112" s="152" t="str">
        <f>IFERROR(SUMIFS(TME[[#All],[Total Truncated Claims Spending]],TME[[#All],[Reporting Year]],2020,TME[[#All],[Insurance Category Code]],5,TME[[#All],[Large Provider Entity Code]],AR112)/AT112,"NA")</f>
        <v>NA</v>
      </c>
      <c r="AW112" s="152" t="str">
        <f>IFERROR(SUMIFS(TME[[#All],[Total Non-Claims Spending]],TME[[#All],[Reporting Year]],2020,TME[[#All],[Insurance Category Code]],5,TME[[#All],[Large Provider Entity Code]],AR112)/AT112,"NA")</f>
        <v>NA</v>
      </c>
      <c r="AX112" s="152" t="str">
        <f>IFERROR(SUMIFS(TME[[#All],[Total Non-Truncated Claims and Non-Claims Spending]],TME[[#All],[Reporting Year]],2020,TME[[#All],[Insurance Category Code]],5,TME[[#All],[Large Provider Entity Code]],AR112)/AT112,"NA")</f>
        <v>NA</v>
      </c>
      <c r="AY112" s="152" t="str">
        <f>IFERROR(SUMIFS(TME[[#All],[Truncated Total Expenses (Total Truncated Claims Expenses + Non-Claims Expenses)]],TME[[#All],[Reporting Year]],2020,TME[[#All],[Insurance Category Code]],5,TME[[#All],[Large Provider Entity Code]],AR112)/AT112,"NA")</f>
        <v>NA</v>
      </c>
      <c r="AZ112" s="141">
        <f>SUMIFS(TME[[#All],[Member Months]],TME[[#All],[Reporting Year]],2021,TME[[#All],[Insurance Category Code]],5,TME[[#All],[Large Provider Entity Code]],AR112)</f>
        <v>0</v>
      </c>
      <c r="BA112" s="152" t="str">
        <f>IFERROR(SUMIFS(TME[[#All],[Total Non-Truncated Claims Spending]],TME[[#All],[Reporting Year]],2021,TME[[#All],[Insurance Category Code]],5,TME[[#All],[Large Provider Entity Code]],AR112)/AZ112,"NA")</f>
        <v>NA</v>
      </c>
      <c r="BB112" s="152" t="str">
        <f>IFERROR(SUMIFS(TME[[#All],[Total Truncated Claims Spending]],TME[[#All],[Reporting Year]],2021,TME[[#All],[Insurance Category Code]],5,TME[[#All],[Large Provider Entity Code]],AR112)/AZ112,"NA")</f>
        <v>NA</v>
      </c>
      <c r="BC112" s="152" t="str">
        <f>IFERROR(SUMIFS(TME[[#All],[Total Non-Claims Spending]],TME[[#All],[Reporting Year]],2021,TME[[#All],[Insurance Category Code]],5,TME[[#All],[Large Provider Entity Code]],AR112)/AZ112,"NA")</f>
        <v>NA</v>
      </c>
      <c r="BD112" s="152" t="str">
        <f>IFERROR(SUMIFS(TME[[#All],[Total Non-Truncated Claims and Non-Claims Spending]],TME[[#All],[Reporting Year]],2021,TME[[#All],[Insurance Category Code]],5,TME[[#All],[Large Provider Entity Code]],AR112)/AZ112,"NA")</f>
        <v>NA</v>
      </c>
      <c r="BE112" s="152" t="str">
        <f>IFERROR(SUMIFS(TME[[#All],[Truncated Total Expenses (Total Truncated Claims Expenses + Non-Claims Expenses)]],TME[[#All],[Reporting Year]],2021,TME[[#All],[Insurance Category Code]],5,TME[[#All],[Large Provider Entity Code]],AR112)/AZ112,"NA")</f>
        <v>NA</v>
      </c>
      <c r="BF112" s="154" t="str">
        <f t="shared" si="183"/>
        <v>NA</v>
      </c>
      <c r="BG112" s="154" t="str">
        <f t="shared" si="184"/>
        <v>NA</v>
      </c>
      <c r="BH112" s="154" t="str">
        <f t="shared" si="185"/>
        <v>NA</v>
      </c>
      <c r="BI112" s="154" t="str">
        <f t="shared" si="186"/>
        <v>NA</v>
      </c>
      <c r="BJ112" s="154" t="str">
        <f t="shared" si="187"/>
        <v>NA</v>
      </c>
      <c r="BK112" s="154" t="str">
        <f t="shared" si="188"/>
        <v>NA</v>
      </c>
    </row>
    <row r="113" spans="2:63" x14ac:dyDescent="0.35">
      <c r="B113" s="123">
        <v>111</v>
      </c>
      <c r="C113" s="103" t="s">
        <v>254</v>
      </c>
      <c r="D113" s="141">
        <f>SUMIFS(TME[[#All],[Member Months]],TME[[#All],[Reporting Year]],2018,TME[[#All],[Insurance Category Code]],5,TME[[#All],[Large Provider Entity Code]],B113)</f>
        <v>0</v>
      </c>
      <c r="E113" s="152" t="str">
        <f>IFERROR(SUMIFS(TME[[#All],[Total Non-Truncated Claims Spending]],TME[[#All],[Reporting Year]],2018,TME[[#All],[Insurance Category Code]],5,TME[[#All],[Large Provider Entity Code]],B113)/D113,"NA")</f>
        <v>NA</v>
      </c>
      <c r="F113" s="152" t="str">
        <f>IFERROR(SUMIFS(TME[[#All],[Total Truncated Claims Spending]],TME[[#All],[Reporting Year]],2018,TME[[#All],[Insurance Category Code]],5,TME[[#All],[Large Provider Entity Code]],B113)/D113,"NA")</f>
        <v>NA</v>
      </c>
      <c r="G113" s="152" t="str">
        <f>IFERROR(SUMIFS(TME[[#All],[Total Non-Claims Spending]],TME[[#All],[Reporting Year]],2018,TME[[#All],[Insurance Category Code]],5,TME[[#All],[Large Provider Entity Code]],B113)/D113,"NA")</f>
        <v>NA</v>
      </c>
      <c r="H113" s="152" t="str">
        <f>IFERROR(SUMIFS(TME[[#All],[Total Non-Truncated Claims and Non-Claims Spending]],TME[[#All],[Reporting Year]],2018,TME[[#All],[Insurance Category Code]],5,TME[[#All],[Large Provider Entity Code]],B113)/D113,"NA")</f>
        <v>NA</v>
      </c>
      <c r="I113" s="152" t="str">
        <f>IFERROR(SUMIFS(TME[[#All],[Truncated Total Expenses (Total Truncated Claims Expenses + Non-Claims Expenses)]],TME[[#All],[Reporting Year]],2018,TME[[#All],[Insurance Category Code]],5,TME[[#All],[Large Provider Entity Code]],B113)/D113,"NA")</f>
        <v>NA</v>
      </c>
      <c r="J113" s="141">
        <f>SUMIFS(TME[[#All],[Member Months]],TME[[#All],[Reporting Year]],2019,TME[[#All],[Insurance Category Code]],5,TME[[#All],[Large Provider Entity Code]],B113)</f>
        <v>0</v>
      </c>
      <c r="K113" s="152" t="str">
        <f>IFERROR(SUMIFS(TME[[#All],[Total Non-Truncated Claims Spending]],TME[[#All],[Reporting Year]],2019,TME[[#All],[Insurance Category Code]],5,TME[[#All],[Large Provider Entity Code]],B113)/J113,"NA")</f>
        <v>NA</v>
      </c>
      <c r="L113" s="152" t="str">
        <f>IFERROR(SUMIFS(TME[[#All],[Total Truncated Claims Spending]],TME[[#All],[Reporting Year]],2019,TME[[#All],[Insurance Category Code]],5,TME[[#All],[Large Provider Entity Code]],B113)/J113,"NA")</f>
        <v>NA</v>
      </c>
      <c r="M113" s="152" t="str">
        <f>IFERROR(SUMIFS(TME[[#All],[Total Non-Claims Spending]],TME[[#All],[Reporting Year]],2019,TME[[#All],[Insurance Category Code]],5,TME[[#All],[Large Provider Entity Code]],B113)/J113,"NA")</f>
        <v>NA</v>
      </c>
      <c r="N113" s="152" t="str">
        <f>IFERROR(SUMIFS(TME[[#All],[Total Non-Truncated Claims and Non-Claims Spending]],TME[[#All],[Reporting Year]],2019,TME[[#All],[Insurance Category Code]],5,TME[[#All],[Large Provider Entity Code]],B113)/J113,"NA")</f>
        <v>NA</v>
      </c>
      <c r="O113" s="152" t="str">
        <f>IFERROR(SUMIFS(TME[[#All],[Truncated Total Expenses (Total Truncated Claims Expenses + Non-Claims Expenses)]],TME[[#All],[Reporting Year]],2019,TME[[#All],[Insurance Category Code]],5,TME[[#All],[Large Provider Entity Code]],B113)/J113,"NA")</f>
        <v>NA</v>
      </c>
      <c r="P113" s="154" t="str">
        <f t="shared" si="171"/>
        <v>NA</v>
      </c>
      <c r="Q113" s="154" t="str">
        <f t="shared" si="172"/>
        <v>NA</v>
      </c>
      <c r="R113" s="154" t="str">
        <f t="shared" si="173"/>
        <v>NA</v>
      </c>
      <c r="S113" s="154" t="str">
        <f t="shared" si="174"/>
        <v>NA</v>
      </c>
      <c r="T113" s="154" t="str">
        <f t="shared" si="175"/>
        <v>NA</v>
      </c>
      <c r="U113" s="154" t="str">
        <f t="shared" si="176"/>
        <v>NA</v>
      </c>
      <c r="W113" s="123">
        <v>111</v>
      </c>
      <c r="X113" s="103" t="s">
        <v>254</v>
      </c>
      <c r="Y113" s="141">
        <f>SUMIFS(TME[[#All],[Member Months]],TME[[#All],[Reporting Year]],2019,TME[[#All],[Insurance Category Code]],5,TME[[#All],[Large Provider Entity Code]],W113)</f>
        <v>0</v>
      </c>
      <c r="Z113" s="152" t="str">
        <f>IFERROR(SUMIFS(TME[[#All],[Total Non-Truncated Claims Spending]],TME[[#All],[Reporting Year]],2019,TME[[#All],[Insurance Category Code]],5,TME[[#All],[Large Provider Entity Code]],W113)/Y113,"NA")</f>
        <v>NA</v>
      </c>
      <c r="AA113" s="152" t="str">
        <f>IFERROR(SUMIFS(TME[[#All],[Total Truncated Claims Spending]],TME[[#All],[Reporting Year]],2019,TME[[#All],[Insurance Category Code]],5,TME[[#All],[Large Provider Entity Code]],W113)/Y113,"NA")</f>
        <v>NA</v>
      </c>
      <c r="AB113" s="152" t="str">
        <f>IFERROR(SUMIFS(TME[[#All],[Total Non-Claims Spending]],TME[[#All],[Reporting Year]],2019,TME[[#All],[Insurance Category Code]],5,TME[[#All],[Large Provider Entity Code]],W113)/Y113,"NA")</f>
        <v>NA</v>
      </c>
      <c r="AC113" s="152" t="str">
        <f>IFERROR(SUMIFS(TME[[#All],[Total Non-Truncated Claims and Non-Claims Spending]],TME[[#All],[Reporting Year]],2019,TME[[#All],[Insurance Category Code]],5,TME[[#All],[Large Provider Entity Code]],W113)/Y113,"NA")</f>
        <v>NA</v>
      </c>
      <c r="AD113" s="152" t="str">
        <f>IFERROR(SUMIFS(TME[[#All],[Truncated Total Expenses (Total Truncated Claims Expenses + Non-Claims Expenses)]],TME[[#All],[Reporting Year]],2019,TME[[#All],[Insurance Category Code]],5,TME[[#All],[Large Provider Entity Code]],W113)/Y113,"NA")</f>
        <v>NA</v>
      </c>
      <c r="AE113" s="141">
        <f>SUMIFS(TME[[#All],[Member Months]],TME[[#All],[Reporting Year]],2020,TME[[#All],[Insurance Category Code]],5,TME[[#All],[Large Provider Entity Code]],W113)</f>
        <v>0</v>
      </c>
      <c r="AF113" s="152" t="str">
        <f>IFERROR(SUMIFS(TME[[#All],[Total Non-Truncated Claims Spending]],TME[[#All],[Reporting Year]],2020,TME[[#All],[Insurance Category Code]],5,TME[[#All],[Large Provider Entity Code]],W113)/AE113,"NA")</f>
        <v>NA</v>
      </c>
      <c r="AG113" s="152" t="str">
        <f>IFERROR(SUMIFS(TME[[#All],[Total Truncated Claims Spending]],TME[[#All],[Reporting Year]],2020,TME[[#All],[Insurance Category Code]],5,TME[[#All],[Large Provider Entity Code]],W113)/AE113,"NA")</f>
        <v>NA</v>
      </c>
      <c r="AH113" s="152" t="str">
        <f>IFERROR(SUMIFS(TME[[#All],[Total Non-Claims Spending]],TME[[#All],[Reporting Year]],2020,TME[[#All],[Insurance Category Code]],5,TME[[#All],[Large Provider Entity Code]],W113)/AE113,"NA")</f>
        <v>NA</v>
      </c>
      <c r="AI113" s="152" t="str">
        <f>IFERROR(SUMIFS(TME[[#All],[Total Non-Truncated Claims and Non-Claims Spending]],TME[[#All],[Reporting Year]],2020,TME[[#All],[Insurance Category Code]],5,TME[[#All],[Large Provider Entity Code]],W113)/AE113,"NA")</f>
        <v>NA</v>
      </c>
      <c r="AJ113" s="152" t="str">
        <f>IFERROR(SUMIFS(TME[[#All],[Truncated Total Expenses (Total Truncated Claims Expenses + Non-Claims Expenses)]],TME[[#All],[Reporting Year]],2020,TME[[#All],[Insurance Category Code]],5,TME[[#All],[Large Provider Entity Code]],W113)/AE113,"NA")</f>
        <v>NA</v>
      </c>
      <c r="AK113" s="154" t="str">
        <f t="shared" si="177"/>
        <v>NA</v>
      </c>
      <c r="AL113" s="154" t="str">
        <f t="shared" si="178"/>
        <v>NA</v>
      </c>
      <c r="AM113" s="154" t="str">
        <f t="shared" si="179"/>
        <v>NA</v>
      </c>
      <c r="AN113" s="154" t="str">
        <f t="shared" si="180"/>
        <v>NA</v>
      </c>
      <c r="AO113" s="154" t="str">
        <f t="shared" si="181"/>
        <v>NA</v>
      </c>
      <c r="AP113" s="154" t="str">
        <f t="shared" si="182"/>
        <v>NA</v>
      </c>
      <c r="AR113" s="123">
        <v>111</v>
      </c>
      <c r="AS113" s="103" t="s">
        <v>254</v>
      </c>
      <c r="AT113" s="141">
        <f>SUMIFS(TME[[#All],[Member Months]],TME[[#All],[Reporting Year]],2020,TME[[#All],[Insurance Category Code]],5,TME[[#All],[Large Provider Entity Code]],AR113)</f>
        <v>0</v>
      </c>
      <c r="AU113" s="152" t="str">
        <f>IFERROR(SUMIFS(TME[[#All],[Total Non-Truncated Claims Spending]],TME[[#All],[Reporting Year]],2020,TME[[#All],[Insurance Category Code]],5,TME[[#All],[Large Provider Entity Code]],AR113)/AT113,"NA")</f>
        <v>NA</v>
      </c>
      <c r="AV113" s="152" t="str">
        <f>IFERROR(SUMIFS(TME[[#All],[Total Truncated Claims Spending]],TME[[#All],[Reporting Year]],2020,TME[[#All],[Insurance Category Code]],5,TME[[#All],[Large Provider Entity Code]],AR113)/AT113,"NA")</f>
        <v>NA</v>
      </c>
      <c r="AW113" s="152" t="str">
        <f>IFERROR(SUMIFS(TME[[#All],[Total Non-Claims Spending]],TME[[#All],[Reporting Year]],2020,TME[[#All],[Insurance Category Code]],5,TME[[#All],[Large Provider Entity Code]],AR113)/AT113,"NA")</f>
        <v>NA</v>
      </c>
      <c r="AX113" s="152" t="str">
        <f>IFERROR(SUMIFS(TME[[#All],[Total Non-Truncated Claims and Non-Claims Spending]],TME[[#All],[Reporting Year]],2020,TME[[#All],[Insurance Category Code]],5,TME[[#All],[Large Provider Entity Code]],AR113)/AT113,"NA")</f>
        <v>NA</v>
      </c>
      <c r="AY113" s="152" t="str">
        <f>IFERROR(SUMIFS(TME[[#All],[Truncated Total Expenses (Total Truncated Claims Expenses + Non-Claims Expenses)]],TME[[#All],[Reporting Year]],2020,TME[[#All],[Insurance Category Code]],5,TME[[#All],[Large Provider Entity Code]],AR113)/AT113,"NA")</f>
        <v>NA</v>
      </c>
      <c r="AZ113" s="141">
        <f>SUMIFS(TME[[#All],[Member Months]],TME[[#All],[Reporting Year]],2021,TME[[#All],[Insurance Category Code]],5,TME[[#All],[Large Provider Entity Code]],AR113)</f>
        <v>0</v>
      </c>
      <c r="BA113" s="152" t="str">
        <f>IFERROR(SUMIFS(TME[[#All],[Total Non-Truncated Claims Spending]],TME[[#All],[Reporting Year]],2021,TME[[#All],[Insurance Category Code]],5,TME[[#All],[Large Provider Entity Code]],AR113)/AZ113,"NA")</f>
        <v>NA</v>
      </c>
      <c r="BB113" s="152" t="str">
        <f>IFERROR(SUMIFS(TME[[#All],[Total Truncated Claims Spending]],TME[[#All],[Reporting Year]],2021,TME[[#All],[Insurance Category Code]],5,TME[[#All],[Large Provider Entity Code]],AR113)/AZ113,"NA")</f>
        <v>NA</v>
      </c>
      <c r="BC113" s="152" t="str">
        <f>IFERROR(SUMIFS(TME[[#All],[Total Non-Claims Spending]],TME[[#All],[Reporting Year]],2021,TME[[#All],[Insurance Category Code]],5,TME[[#All],[Large Provider Entity Code]],AR113)/AZ113,"NA")</f>
        <v>NA</v>
      </c>
      <c r="BD113" s="152" t="str">
        <f>IFERROR(SUMIFS(TME[[#All],[Total Non-Truncated Claims and Non-Claims Spending]],TME[[#All],[Reporting Year]],2021,TME[[#All],[Insurance Category Code]],5,TME[[#All],[Large Provider Entity Code]],AR113)/AZ113,"NA")</f>
        <v>NA</v>
      </c>
      <c r="BE113" s="152" t="str">
        <f>IFERROR(SUMIFS(TME[[#All],[Truncated Total Expenses (Total Truncated Claims Expenses + Non-Claims Expenses)]],TME[[#All],[Reporting Year]],2021,TME[[#All],[Insurance Category Code]],5,TME[[#All],[Large Provider Entity Code]],AR113)/AZ113,"NA")</f>
        <v>NA</v>
      </c>
      <c r="BF113" s="154" t="str">
        <f t="shared" si="183"/>
        <v>NA</v>
      </c>
      <c r="BG113" s="154" t="str">
        <f t="shared" si="184"/>
        <v>NA</v>
      </c>
      <c r="BH113" s="154" t="str">
        <f t="shared" si="185"/>
        <v>NA</v>
      </c>
      <c r="BI113" s="154" t="str">
        <f t="shared" si="186"/>
        <v>NA</v>
      </c>
      <c r="BJ113" s="154" t="str">
        <f t="shared" si="187"/>
        <v>NA</v>
      </c>
      <c r="BK113" s="154" t="str">
        <f t="shared" si="188"/>
        <v>NA</v>
      </c>
    </row>
    <row r="114" spans="2:63" x14ac:dyDescent="0.35">
      <c r="B114" s="123">
        <v>999</v>
      </c>
      <c r="C114" s="103" t="s">
        <v>42</v>
      </c>
      <c r="D114" s="141">
        <f>SUMIFS(TME[[#All],[Member Months]],TME[[#All],[Reporting Year]],2018,TME[[#All],[Insurance Category Code]],5,TME[[#All],[Large Provider Entity Code]],B114)</f>
        <v>0</v>
      </c>
      <c r="E114" s="152" t="str">
        <f>IFERROR(SUMIFS(TME[[#All],[Total Non-Truncated Claims Spending]],TME[[#All],[Reporting Year]],2018,TME[[#All],[Insurance Category Code]],5,TME[[#All],[Large Provider Entity Code]],B114)/D114,"NA")</f>
        <v>NA</v>
      </c>
      <c r="F114" s="152" t="str">
        <f>IFERROR(SUMIFS(TME[[#All],[Total Truncated Claims Spending]],TME[[#All],[Reporting Year]],2018,TME[[#All],[Insurance Category Code]],5,TME[[#All],[Large Provider Entity Code]],B114)/D114,"NA")</f>
        <v>NA</v>
      </c>
      <c r="G114" s="152" t="str">
        <f>IFERROR(SUMIFS(TME[[#All],[Total Non-Claims Spending]],TME[[#All],[Reporting Year]],2018,TME[[#All],[Insurance Category Code]],5,TME[[#All],[Large Provider Entity Code]],B114)/D114,"NA")</f>
        <v>NA</v>
      </c>
      <c r="H114" s="152" t="str">
        <f>IFERROR(SUMIFS(TME[[#All],[Total Non-Truncated Claims and Non-Claims Spending]],TME[[#All],[Reporting Year]],2018,TME[[#All],[Insurance Category Code]],5,TME[[#All],[Large Provider Entity Code]],B114)/D114,"NA")</f>
        <v>NA</v>
      </c>
      <c r="I114" s="152" t="str">
        <f>IFERROR(SUMIFS(TME[[#All],[Truncated Total Expenses (Total Truncated Claims Expenses + Non-Claims Expenses)]],TME[[#All],[Reporting Year]],2018,TME[[#All],[Insurance Category Code]],5,TME[[#All],[Large Provider Entity Code]],B114)/D114,"NA")</f>
        <v>NA</v>
      </c>
      <c r="J114" s="141">
        <f>SUMIFS(TME[[#All],[Member Months]],TME[[#All],[Reporting Year]],2019,TME[[#All],[Insurance Category Code]],5,TME[[#All],[Large Provider Entity Code]],B114)</f>
        <v>0</v>
      </c>
      <c r="K114" s="152" t="str">
        <f>IFERROR(SUMIFS(TME[[#All],[Total Non-Truncated Claims Spending]],TME[[#All],[Reporting Year]],2019,TME[[#All],[Insurance Category Code]],5,TME[[#All],[Large Provider Entity Code]],B114)/J114,"NA")</f>
        <v>NA</v>
      </c>
      <c r="L114" s="152" t="str">
        <f>IFERROR(SUMIFS(TME[[#All],[Total Truncated Claims Spending]],TME[[#All],[Reporting Year]],2019,TME[[#All],[Insurance Category Code]],5,TME[[#All],[Large Provider Entity Code]],B114)/J114,"NA")</f>
        <v>NA</v>
      </c>
      <c r="M114" s="152" t="str">
        <f>IFERROR(SUMIFS(TME[[#All],[Total Non-Claims Spending]],TME[[#All],[Reporting Year]],2019,TME[[#All],[Insurance Category Code]],5,TME[[#All],[Large Provider Entity Code]],B114)/J114,"NA")</f>
        <v>NA</v>
      </c>
      <c r="N114" s="152" t="str">
        <f>IFERROR(SUMIFS(TME[[#All],[Total Non-Truncated Claims and Non-Claims Spending]],TME[[#All],[Reporting Year]],2019,TME[[#All],[Insurance Category Code]],5,TME[[#All],[Large Provider Entity Code]],B114)/J114,"NA")</f>
        <v>NA</v>
      </c>
      <c r="O114" s="152" t="str">
        <f>IFERROR(SUMIFS(TME[[#All],[Truncated Total Expenses (Total Truncated Claims Expenses + Non-Claims Expenses)]],TME[[#All],[Reporting Year]],2019,TME[[#All],[Insurance Category Code]],5,TME[[#All],[Large Provider Entity Code]],B114)/J114,"NA")</f>
        <v>NA</v>
      </c>
      <c r="P114" s="154" t="str">
        <f t="shared" si="171"/>
        <v>NA</v>
      </c>
      <c r="Q114" s="154" t="str">
        <f t="shared" si="172"/>
        <v>NA</v>
      </c>
      <c r="R114" s="154" t="str">
        <f t="shared" si="173"/>
        <v>NA</v>
      </c>
      <c r="S114" s="154" t="str">
        <f t="shared" si="174"/>
        <v>NA</v>
      </c>
      <c r="T114" s="154" t="str">
        <f t="shared" si="175"/>
        <v>NA</v>
      </c>
      <c r="U114" s="154" t="str">
        <f t="shared" si="176"/>
        <v>NA</v>
      </c>
      <c r="W114" s="123">
        <v>999</v>
      </c>
      <c r="X114" s="103" t="s">
        <v>42</v>
      </c>
      <c r="Y114" s="141">
        <f>SUMIFS(TME[[#All],[Member Months]],TME[[#All],[Reporting Year]],2019,TME[[#All],[Insurance Category Code]],5,TME[[#All],[Large Provider Entity Code]],W114)</f>
        <v>0</v>
      </c>
      <c r="Z114" s="152" t="str">
        <f>IFERROR(SUMIFS(TME[[#All],[Total Non-Truncated Claims Spending]],TME[[#All],[Reporting Year]],2019,TME[[#All],[Insurance Category Code]],5,TME[[#All],[Large Provider Entity Code]],W114)/Y114,"NA")</f>
        <v>NA</v>
      </c>
      <c r="AA114" s="152" t="str">
        <f>IFERROR(SUMIFS(TME[[#All],[Total Truncated Claims Spending]],TME[[#All],[Reporting Year]],2019,TME[[#All],[Insurance Category Code]],5,TME[[#All],[Large Provider Entity Code]],W114)/Y114,"NA")</f>
        <v>NA</v>
      </c>
      <c r="AB114" s="152" t="str">
        <f>IFERROR(SUMIFS(TME[[#All],[Total Non-Claims Spending]],TME[[#All],[Reporting Year]],2019,TME[[#All],[Insurance Category Code]],5,TME[[#All],[Large Provider Entity Code]],W114)/Y114,"NA")</f>
        <v>NA</v>
      </c>
      <c r="AC114" s="152" t="str">
        <f>IFERROR(SUMIFS(TME[[#All],[Total Non-Truncated Claims and Non-Claims Spending]],TME[[#All],[Reporting Year]],2019,TME[[#All],[Insurance Category Code]],5,TME[[#All],[Large Provider Entity Code]],W114)/Y114,"NA")</f>
        <v>NA</v>
      </c>
      <c r="AD114" s="152" t="str">
        <f>IFERROR(SUMIFS(TME[[#All],[Truncated Total Expenses (Total Truncated Claims Expenses + Non-Claims Expenses)]],TME[[#All],[Reporting Year]],2019,TME[[#All],[Insurance Category Code]],5,TME[[#All],[Large Provider Entity Code]],W114)/Y114,"NA")</f>
        <v>NA</v>
      </c>
      <c r="AE114" s="141">
        <f>SUMIFS(TME[[#All],[Member Months]],TME[[#All],[Reporting Year]],2020,TME[[#All],[Insurance Category Code]],5,TME[[#All],[Large Provider Entity Code]],W114)</f>
        <v>0</v>
      </c>
      <c r="AF114" s="152" t="str">
        <f>IFERROR(SUMIFS(TME[[#All],[Total Non-Truncated Claims Spending]],TME[[#All],[Reporting Year]],2020,TME[[#All],[Insurance Category Code]],5,TME[[#All],[Large Provider Entity Code]],W114)/AE114,"NA")</f>
        <v>NA</v>
      </c>
      <c r="AG114" s="152" t="str">
        <f>IFERROR(SUMIFS(TME[[#All],[Total Truncated Claims Spending]],TME[[#All],[Reporting Year]],2020,TME[[#All],[Insurance Category Code]],5,TME[[#All],[Large Provider Entity Code]],W114)/AE114,"NA")</f>
        <v>NA</v>
      </c>
      <c r="AH114" s="152" t="str">
        <f>IFERROR(SUMIFS(TME[[#All],[Total Non-Claims Spending]],TME[[#All],[Reporting Year]],2020,TME[[#All],[Insurance Category Code]],5,TME[[#All],[Large Provider Entity Code]],W114)/AE114,"NA")</f>
        <v>NA</v>
      </c>
      <c r="AI114" s="152" t="str">
        <f>IFERROR(SUMIFS(TME[[#All],[Total Non-Truncated Claims and Non-Claims Spending]],TME[[#All],[Reporting Year]],2020,TME[[#All],[Insurance Category Code]],5,TME[[#All],[Large Provider Entity Code]],W114)/AE114,"NA")</f>
        <v>NA</v>
      </c>
      <c r="AJ114" s="152" t="str">
        <f>IFERROR(SUMIFS(TME[[#All],[Truncated Total Expenses (Total Truncated Claims Expenses + Non-Claims Expenses)]],TME[[#All],[Reporting Year]],2020,TME[[#All],[Insurance Category Code]],5,TME[[#All],[Large Provider Entity Code]],W114)/AE114,"NA")</f>
        <v>NA</v>
      </c>
      <c r="AK114" s="154" t="str">
        <f t="shared" si="177"/>
        <v>NA</v>
      </c>
      <c r="AL114" s="154" t="str">
        <f t="shared" si="178"/>
        <v>NA</v>
      </c>
      <c r="AM114" s="154" t="str">
        <f t="shared" si="179"/>
        <v>NA</v>
      </c>
      <c r="AN114" s="154" t="str">
        <f t="shared" si="180"/>
        <v>NA</v>
      </c>
      <c r="AO114" s="154" t="str">
        <f t="shared" si="181"/>
        <v>NA</v>
      </c>
      <c r="AP114" s="154" t="str">
        <f t="shared" si="182"/>
        <v>NA</v>
      </c>
      <c r="AR114" s="123">
        <v>999</v>
      </c>
      <c r="AS114" s="103" t="s">
        <v>42</v>
      </c>
      <c r="AT114" s="141">
        <f>SUMIFS(TME[[#All],[Member Months]],TME[[#All],[Reporting Year]],2020,TME[[#All],[Insurance Category Code]],5,TME[[#All],[Large Provider Entity Code]],AR114)</f>
        <v>0</v>
      </c>
      <c r="AU114" s="152" t="str">
        <f>IFERROR(SUMIFS(TME[[#All],[Total Non-Truncated Claims Spending]],TME[[#All],[Reporting Year]],2020,TME[[#All],[Insurance Category Code]],5,TME[[#All],[Large Provider Entity Code]],AR114)/AT114,"NA")</f>
        <v>NA</v>
      </c>
      <c r="AV114" s="152" t="str">
        <f>IFERROR(SUMIFS(TME[[#All],[Total Truncated Claims Spending]],TME[[#All],[Reporting Year]],2020,TME[[#All],[Insurance Category Code]],5,TME[[#All],[Large Provider Entity Code]],AR114)/AT114,"NA")</f>
        <v>NA</v>
      </c>
      <c r="AW114" s="152" t="str">
        <f>IFERROR(SUMIFS(TME[[#All],[Total Non-Claims Spending]],TME[[#All],[Reporting Year]],2020,TME[[#All],[Insurance Category Code]],5,TME[[#All],[Large Provider Entity Code]],AR114)/AT114,"NA")</f>
        <v>NA</v>
      </c>
      <c r="AX114" s="152" t="str">
        <f>IFERROR(SUMIFS(TME[[#All],[Total Non-Truncated Claims and Non-Claims Spending]],TME[[#All],[Reporting Year]],2020,TME[[#All],[Insurance Category Code]],5,TME[[#All],[Large Provider Entity Code]],AR114)/AT114,"NA")</f>
        <v>NA</v>
      </c>
      <c r="AY114" s="152" t="str">
        <f>IFERROR(SUMIFS(TME[[#All],[Truncated Total Expenses (Total Truncated Claims Expenses + Non-Claims Expenses)]],TME[[#All],[Reporting Year]],2020,TME[[#All],[Insurance Category Code]],5,TME[[#All],[Large Provider Entity Code]],AR114)/AT114,"NA")</f>
        <v>NA</v>
      </c>
      <c r="AZ114" s="141">
        <f>SUMIFS(TME[[#All],[Member Months]],TME[[#All],[Reporting Year]],2021,TME[[#All],[Insurance Category Code]],5,TME[[#All],[Large Provider Entity Code]],AR114)</f>
        <v>0</v>
      </c>
      <c r="BA114" s="152" t="str">
        <f>IFERROR(SUMIFS(TME[[#All],[Total Non-Truncated Claims Spending]],TME[[#All],[Reporting Year]],2021,TME[[#All],[Insurance Category Code]],5,TME[[#All],[Large Provider Entity Code]],AR114)/AZ114,"NA")</f>
        <v>NA</v>
      </c>
      <c r="BB114" s="152" t="str">
        <f>IFERROR(SUMIFS(TME[[#All],[Total Truncated Claims Spending]],TME[[#All],[Reporting Year]],2021,TME[[#All],[Insurance Category Code]],5,TME[[#All],[Large Provider Entity Code]],AR114)/AZ114,"NA")</f>
        <v>NA</v>
      </c>
      <c r="BC114" s="152" t="str">
        <f>IFERROR(SUMIFS(TME[[#All],[Total Non-Claims Spending]],TME[[#All],[Reporting Year]],2021,TME[[#All],[Insurance Category Code]],5,TME[[#All],[Large Provider Entity Code]],AR114)/AZ114,"NA")</f>
        <v>NA</v>
      </c>
      <c r="BD114" s="152" t="str">
        <f>IFERROR(SUMIFS(TME[[#All],[Total Non-Truncated Claims and Non-Claims Spending]],TME[[#All],[Reporting Year]],2021,TME[[#All],[Insurance Category Code]],5,TME[[#All],[Large Provider Entity Code]],AR114)/AZ114,"NA")</f>
        <v>NA</v>
      </c>
      <c r="BE114" s="152" t="str">
        <f>IFERROR(SUMIFS(TME[[#All],[Truncated Total Expenses (Total Truncated Claims Expenses + Non-Claims Expenses)]],TME[[#All],[Reporting Year]],2021,TME[[#All],[Insurance Category Code]],5,TME[[#All],[Large Provider Entity Code]],AR114)/AZ114,"NA")</f>
        <v>NA</v>
      </c>
      <c r="BF114" s="154" t="str">
        <f t="shared" si="183"/>
        <v>NA</v>
      </c>
      <c r="BG114" s="154" t="str">
        <f t="shared" si="184"/>
        <v>NA</v>
      </c>
      <c r="BH114" s="154" t="str">
        <f t="shared" si="185"/>
        <v>NA</v>
      </c>
      <c r="BI114" s="154" t="str">
        <f t="shared" si="186"/>
        <v>NA</v>
      </c>
      <c r="BJ114" s="154" t="str">
        <f t="shared" si="187"/>
        <v>NA</v>
      </c>
      <c r="BK114" s="154" t="str">
        <f t="shared" si="188"/>
        <v>NA</v>
      </c>
    </row>
    <row r="115" spans="2:63" x14ac:dyDescent="0.35">
      <c r="B115" s="79"/>
      <c r="C115" s="79" t="s">
        <v>245</v>
      </c>
      <c r="D115" s="151">
        <f>SUM(D103:D114)</f>
        <v>0</v>
      </c>
      <c r="E115" s="153" t="str">
        <f>IFERROR((SUMPRODUCT(E103:E114,D103:D114)/D115),"NA")</f>
        <v>NA</v>
      </c>
      <c r="F115" s="153" t="str">
        <f>IFERROR((SUMPRODUCT(F103:F114,D103:D114)/D115),"NA")</f>
        <v>NA</v>
      </c>
      <c r="G115" s="153" t="str">
        <f>IFERROR((SUMPRODUCT(G103:G114,D103:D114)/D115),"NA")</f>
        <v>NA</v>
      </c>
      <c r="H115" s="153" t="str">
        <f>IFERROR((SUMPRODUCT(H103:H114,D103:D114)/D115),"NA")</f>
        <v>NA</v>
      </c>
      <c r="I115" s="153" t="str">
        <f>IFERROR((SUMPRODUCT(I103:I114,D103:D114)/D115),"NA")</f>
        <v>NA</v>
      </c>
      <c r="J115" s="151">
        <f>SUM(J103:J114)</f>
        <v>0</v>
      </c>
      <c r="K115" s="153" t="str">
        <f>IFERROR((SUMPRODUCT(K103:K114,J103:J114)/J115),"NA")</f>
        <v>NA</v>
      </c>
      <c r="L115" s="153" t="str">
        <f>IFERROR((SUMPRODUCT(L103:L114,J103:J114)/J115),"NA")</f>
        <v>NA</v>
      </c>
      <c r="M115" s="153" t="str">
        <f>IFERROR((SUMPRODUCT(M103:M114,J103:J114)/J115),"NA")</f>
        <v>NA</v>
      </c>
      <c r="N115" s="153" t="str">
        <f>IFERROR((SUMPRODUCT(N103:N114,J103:J114)/J115),"NA")</f>
        <v>NA</v>
      </c>
      <c r="O115" s="153" t="str">
        <f>IFERROR((SUMPRODUCT(O103:O114,J103:J114)/J115),"NA")</f>
        <v>NA</v>
      </c>
      <c r="P115" s="155" t="str">
        <f t="shared" si="171"/>
        <v>NA</v>
      </c>
      <c r="Q115" s="155" t="str">
        <f t="shared" si="172"/>
        <v>NA</v>
      </c>
      <c r="R115" s="155" t="str">
        <f t="shared" si="173"/>
        <v>NA</v>
      </c>
      <c r="S115" s="155" t="str">
        <f t="shared" si="174"/>
        <v>NA</v>
      </c>
      <c r="T115" s="155" t="str">
        <f t="shared" si="175"/>
        <v>NA</v>
      </c>
      <c r="U115" s="155" t="str">
        <f t="shared" si="176"/>
        <v>NA</v>
      </c>
      <c r="W115" s="79"/>
      <c r="X115" s="79" t="s">
        <v>245</v>
      </c>
      <c r="Y115" s="151">
        <f>SUM(Y103:Y114)</f>
        <v>0</v>
      </c>
      <c r="Z115" s="153" t="str">
        <f>IFERROR((SUMPRODUCT(Z103:Z114,Y103:Y114)/Y115),"NA")</f>
        <v>NA</v>
      </c>
      <c r="AA115" s="153" t="str">
        <f>IFERROR((SUMPRODUCT(AA103:AA114,Y103:Y114)/Y115),"NA")</f>
        <v>NA</v>
      </c>
      <c r="AB115" s="153" t="str">
        <f>IFERROR((SUMPRODUCT(AB103:AB114,Y103:Y114)/Y115),"NA")</f>
        <v>NA</v>
      </c>
      <c r="AC115" s="153" t="str">
        <f>IFERROR((SUMPRODUCT(AC103:AC114,Y103:Y114)/Y115),"NA")</f>
        <v>NA</v>
      </c>
      <c r="AD115" s="153" t="str">
        <f>IFERROR((SUMPRODUCT(AD103:AD114,Y103:Y114)/Y115),"NA")</f>
        <v>NA</v>
      </c>
      <c r="AE115" s="151">
        <f>SUM(AE103:AE114)</f>
        <v>0</v>
      </c>
      <c r="AF115" s="153" t="str">
        <f>IFERROR((SUMPRODUCT(AF103:AF114,AE103:AE114)/AE115),"NA")</f>
        <v>NA</v>
      </c>
      <c r="AG115" s="153" t="str">
        <f>IFERROR((SUMPRODUCT(AG103:AG114,AE103:AE114)/AE115),"NA")</f>
        <v>NA</v>
      </c>
      <c r="AH115" s="153" t="str">
        <f>IFERROR((SUMPRODUCT(AH103:AH114,AE103:AE114)/AE115),"NA")</f>
        <v>NA</v>
      </c>
      <c r="AI115" s="153" t="str">
        <f>IFERROR((SUMPRODUCT(AI103:AI114,AE103:AE114)/AE115),"NA")</f>
        <v>NA</v>
      </c>
      <c r="AJ115" s="153" t="str">
        <f>IFERROR((SUMPRODUCT(AJ103:AJ114,AE103:AE114)/AE115),"NA")</f>
        <v>NA</v>
      </c>
      <c r="AK115" s="155" t="str">
        <f t="shared" si="177"/>
        <v>NA</v>
      </c>
      <c r="AL115" s="155" t="str">
        <f t="shared" si="178"/>
        <v>NA</v>
      </c>
      <c r="AM115" s="155" t="str">
        <f t="shared" si="179"/>
        <v>NA</v>
      </c>
      <c r="AN115" s="155" t="str">
        <f t="shared" si="180"/>
        <v>NA</v>
      </c>
      <c r="AO115" s="155" t="str">
        <f t="shared" si="181"/>
        <v>NA</v>
      </c>
      <c r="AP115" s="155" t="str">
        <f t="shared" si="182"/>
        <v>NA</v>
      </c>
      <c r="AR115" s="79"/>
      <c r="AS115" s="79" t="s">
        <v>245</v>
      </c>
      <c r="AT115" s="151">
        <f>SUM(AT103:AT114)</f>
        <v>0</v>
      </c>
      <c r="AU115" s="153" t="str">
        <f>IFERROR((SUMPRODUCT(AU103:AU114,AT103:AT114)/AT115),"NA")</f>
        <v>NA</v>
      </c>
      <c r="AV115" s="153" t="str">
        <f>IFERROR((SUMPRODUCT(AV103:AV114,AT103:AT114)/AT115),"NA")</f>
        <v>NA</v>
      </c>
      <c r="AW115" s="153" t="str">
        <f>IFERROR((SUMPRODUCT(AW103:AW114,AT103:AT114)/AT115),"NA")</f>
        <v>NA</v>
      </c>
      <c r="AX115" s="153" t="str">
        <f>IFERROR((SUMPRODUCT(AX103:AX114,AT103:AT114)/AT115),"NA")</f>
        <v>NA</v>
      </c>
      <c r="AY115" s="153" t="str">
        <f>IFERROR((SUMPRODUCT(AY103:AY114,AT103:AT114)/AT115),"NA")</f>
        <v>NA</v>
      </c>
      <c r="AZ115" s="151">
        <f>SUM(AZ103:AZ114)</f>
        <v>0</v>
      </c>
      <c r="BA115" s="153" t="str">
        <f>IFERROR((SUMPRODUCT(BA103:BA114,AZ103:AZ114)/AZ115),"NA")</f>
        <v>NA</v>
      </c>
      <c r="BB115" s="153" t="str">
        <f>IFERROR((SUMPRODUCT(BB103:BB114,AZ103:AZ114)/AZ115),"NA")</f>
        <v>NA</v>
      </c>
      <c r="BC115" s="153" t="str">
        <f>IFERROR((SUMPRODUCT(BC103:BC114,AZ103:AZ114)/AZ115),"NA")</f>
        <v>NA</v>
      </c>
      <c r="BD115" s="153" t="str">
        <f>IFERROR((SUMPRODUCT(BD103:BD114,AZ103:AZ114)/AZ115),"NA")</f>
        <v>NA</v>
      </c>
      <c r="BE115" s="153" t="str">
        <f>IFERROR((SUMPRODUCT(BE103:BE114,AZ103:AZ114)/AZ115),"NA")</f>
        <v>NA</v>
      </c>
      <c r="BF115" s="155" t="str">
        <f t="shared" si="183"/>
        <v>NA</v>
      </c>
      <c r="BG115" s="155" t="str">
        <f t="shared" si="184"/>
        <v>NA</v>
      </c>
      <c r="BH115" s="155" t="str">
        <f t="shared" si="185"/>
        <v>NA</v>
      </c>
      <c r="BI115" s="155" t="str">
        <f t="shared" si="186"/>
        <v>NA</v>
      </c>
      <c r="BJ115" s="155" t="str">
        <f t="shared" si="187"/>
        <v>NA</v>
      </c>
      <c r="BK115" s="155" t="str">
        <f t="shared" si="188"/>
        <v>NA</v>
      </c>
    </row>
    <row r="116" spans="2:63" x14ac:dyDescent="0.35">
      <c r="B116" s="79"/>
      <c r="C116" s="79" t="s">
        <v>246</v>
      </c>
      <c r="D116" s="151">
        <f>D115</f>
        <v>0</v>
      </c>
      <c r="E116" s="153" t="str">
        <f>IFERROR(((SUMPRODUCT(E103:E114,D103:D114))-ABS(SUMIFS(RX_REBATE[[#All],[Total Pharmacy Rebate Amount]],RX_REBATE[[#All],[Reporting Year]],2018,RX_REBATE[[#All],[Insurance Category Code]],5)))/D116,"NA")</f>
        <v>NA</v>
      </c>
      <c r="F116" s="153" t="str">
        <f>IFERROR(((SUMPRODUCT(F103:F114,D103:D114))-ABS(SUMIFS(RX_REBATE[[#All],[Total Pharmacy Rebate Amount]],RX_REBATE[[#All],[Reporting Year]],2018,RX_REBATE[[#All],[Insurance Category Code]],5)))/D116,"NA")</f>
        <v>NA</v>
      </c>
      <c r="G116" s="153" t="str">
        <f>IFERROR(((SUMPRODUCT(G103:G114,D103:D114))-ABS(SUMIFS(RX_REBATE[[#All],[Total Pharmacy Rebate Amount]],RX_REBATE[[#All],[Reporting Year]],2018,RX_REBATE[[#All],[Insurance Category Code]],5)))/D116,"NA")</f>
        <v>NA</v>
      </c>
      <c r="H116" s="153" t="str">
        <f>IFERROR(((SUMPRODUCT(H103:H114,D103:D114))-ABS(SUMIFS(RX_REBATE[[#All],[Total Pharmacy Rebate Amount]],RX_REBATE[[#All],[Reporting Year]],2018,RX_REBATE[[#All],[Insurance Category Code]],5)))/D116,"NA")</f>
        <v>NA</v>
      </c>
      <c r="I116" s="153" t="str">
        <f>IFERROR(((SUMPRODUCT(I103:I114,D103:D114))-ABS(SUMIFS(RX_REBATE[[#All],[Total Pharmacy Rebate Amount]],RX_REBATE[[#All],[Reporting Year]],2018,RX_REBATE[[#All],[Insurance Category Code]],5)))/D116,"NA")</f>
        <v>NA</v>
      </c>
      <c r="J116" s="151">
        <f t="shared" ref="J116" si="189">J115</f>
        <v>0</v>
      </c>
      <c r="K116" s="153" t="str">
        <f>IFERROR(((SUMPRODUCT(K103:K114,J103:J114))-ABS(SUMIFS(RX_REBATE[[#All],[Total Pharmacy Rebate Amount]],RX_REBATE[[#All],[Reporting Year]],2019,RX_REBATE[[#All],[Insurance Category Code]],5)))/J116,"NA")</f>
        <v>NA</v>
      </c>
      <c r="L116" s="153" t="str">
        <f>IFERROR(((SUMPRODUCT(L103:L114,J103:J114))-ABS(SUMIFS(RX_REBATE[[#All],[Total Pharmacy Rebate Amount]],RX_REBATE[[#All],[Reporting Year]],2019,RX_REBATE[[#All],[Insurance Category Code]],5)))/J116,"NA")</f>
        <v>NA</v>
      </c>
      <c r="M116" s="153" t="str">
        <f>IFERROR(((SUMPRODUCT(M103:M114,J103:J114))-ABS(SUMIFS(RX_REBATE[[#All],[Total Pharmacy Rebate Amount]],RX_REBATE[[#All],[Reporting Year]],2019,RX_REBATE[[#All],[Insurance Category Code]],5)))/J116,"NA")</f>
        <v>NA</v>
      </c>
      <c r="N116" s="153" t="str">
        <f>IFERROR(((SUMPRODUCT(N103:N114,J103:J114))-ABS(SUMIFS(RX_REBATE[[#All],[Total Pharmacy Rebate Amount]],RX_REBATE[[#All],[Reporting Year]],2019,RX_REBATE[[#All],[Insurance Category Code]],5)))/J116,"NA")</f>
        <v>NA</v>
      </c>
      <c r="O116" s="153" t="str">
        <f>IFERROR(((SUMPRODUCT(O103:O114,J103:J114))-ABS(SUMIFS(RX_REBATE[[#All],[Total Pharmacy Rebate Amount]],RX_REBATE[[#All],[Reporting Year]],2019,RX_REBATE[[#All],[Insurance Category Code]],5)))/J116,"NA")</f>
        <v>NA</v>
      </c>
      <c r="P116" s="155" t="str">
        <f t="shared" si="171"/>
        <v>NA</v>
      </c>
      <c r="Q116" s="155" t="str">
        <f t="shared" si="172"/>
        <v>NA</v>
      </c>
      <c r="R116" s="155" t="str">
        <f t="shared" si="173"/>
        <v>NA</v>
      </c>
      <c r="S116" s="155" t="str">
        <f t="shared" si="174"/>
        <v>NA</v>
      </c>
      <c r="T116" s="155" t="str">
        <f t="shared" si="175"/>
        <v>NA</v>
      </c>
      <c r="U116" s="155" t="str">
        <f t="shared" si="176"/>
        <v>NA</v>
      </c>
      <c r="W116" s="79"/>
      <c r="X116" s="79" t="s">
        <v>246</v>
      </c>
      <c r="Y116" s="151">
        <f>Y115</f>
        <v>0</v>
      </c>
      <c r="Z116" s="153" t="str">
        <f>IFERROR(((SUMPRODUCT(Z103:Z114,Y103:Y114))-ABS(SUMIFS(RX_REBATE[[#All],[Total Pharmacy Rebate Amount]],RX_REBATE[[#All],[Reporting Year]],2019,RX_REBATE[[#All],[Insurance Category Code]],5)))/Y116,"NA")</f>
        <v>NA</v>
      </c>
      <c r="AA116" s="153" t="str">
        <f>IFERROR(((SUMPRODUCT(AA103:AA114,Y103:Y114))-ABS(SUMIFS(RX_REBATE[[#All],[Total Pharmacy Rebate Amount]],RX_REBATE[[#All],[Reporting Year]],2019,RX_REBATE[[#All],[Insurance Category Code]],5)))/Y116,"NA")</f>
        <v>NA</v>
      </c>
      <c r="AB116" s="153" t="str">
        <f>IFERROR(((SUMPRODUCT(AB103:AB114,Y103:Y114))-ABS(SUMIFS(RX_REBATE[[#All],[Total Pharmacy Rebate Amount]],RX_REBATE[[#All],[Reporting Year]],2019,RX_REBATE[[#All],[Insurance Category Code]],5)))/Y116,"NA")</f>
        <v>NA</v>
      </c>
      <c r="AC116" s="153" t="str">
        <f>IFERROR(((SUMPRODUCT(AC103:AC114,Y103:Y114))-ABS(SUMIFS(RX_REBATE[[#All],[Total Pharmacy Rebate Amount]],RX_REBATE[[#All],[Reporting Year]],2019,RX_REBATE[[#All],[Insurance Category Code]],5)))/Y116,"NA")</f>
        <v>NA</v>
      </c>
      <c r="AD116" s="153" t="str">
        <f>IFERROR(((SUMPRODUCT(AD103:AD114,Y103:Y114))-ABS(SUMIFS(RX_REBATE[[#All],[Total Pharmacy Rebate Amount]],RX_REBATE[[#All],[Reporting Year]],2019,RX_REBATE[[#All],[Insurance Category Code]],5)))/Y116,"NA")</f>
        <v>NA</v>
      </c>
      <c r="AE116" s="151">
        <f t="shared" ref="AE116" si="190">AE115</f>
        <v>0</v>
      </c>
      <c r="AF116" s="153" t="str">
        <f>IFERROR(((SUMPRODUCT(AF103:AF114,AE103:AE114))-ABS(SUMIFS(RX_REBATE[[#All],[Total Pharmacy Rebate Amount]],RX_REBATE[[#All],[Reporting Year]],2020,RX_REBATE[[#All],[Insurance Category Code]],5)))/AE116,"NA")</f>
        <v>NA</v>
      </c>
      <c r="AG116" s="153" t="str">
        <f>IFERROR(((SUMPRODUCT(AG103:AG114,AE103:AE114))-ABS(SUMIFS(RX_REBATE[[#All],[Total Pharmacy Rebate Amount]],RX_REBATE[[#All],[Reporting Year]],2020,RX_REBATE[[#All],[Insurance Category Code]],5)))/AE116,"NA")</f>
        <v>NA</v>
      </c>
      <c r="AH116" s="153" t="str">
        <f>IFERROR(((SUMPRODUCT(AH103:AH114,AE103:AE114))-ABS(SUMIFS(RX_REBATE[[#All],[Total Pharmacy Rebate Amount]],RX_REBATE[[#All],[Reporting Year]],2020,RX_REBATE[[#All],[Insurance Category Code]],5)))/AE116,"NA")</f>
        <v>NA</v>
      </c>
      <c r="AI116" s="153" t="str">
        <f>IFERROR(((SUMPRODUCT(AI103:AI114,AE103:AE114))-ABS(SUMIFS(RX_REBATE[[#All],[Total Pharmacy Rebate Amount]],RX_REBATE[[#All],[Reporting Year]],2020,RX_REBATE[[#All],[Insurance Category Code]],5)))/AE116,"NA")</f>
        <v>NA</v>
      </c>
      <c r="AJ116" s="153" t="str">
        <f>IFERROR(((SUMPRODUCT(AJ103:AJ114,AE103:AE114))-ABS(SUMIFS(RX_REBATE[[#All],[Total Pharmacy Rebate Amount]],RX_REBATE[[#All],[Reporting Year]],2020,RX_REBATE[[#All],[Insurance Category Code]],5)))/AE116,"NA")</f>
        <v>NA</v>
      </c>
      <c r="AK116" s="155" t="str">
        <f t="shared" si="177"/>
        <v>NA</v>
      </c>
      <c r="AL116" s="155" t="str">
        <f t="shared" si="178"/>
        <v>NA</v>
      </c>
      <c r="AM116" s="155" t="str">
        <f t="shared" si="179"/>
        <v>NA</v>
      </c>
      <c r="AN116" s="155" t="str">
        <f t="shared" si="180"/>
        <v>NA</v>
      </c>
      <c r="AO116" s="155" t="str">
        <f t="shared" si="181"/>
        <v>NA</v>
      </c>
      <c r="AP116" s="155" t="str">
        <f t="shared" si="182"/>
        <v>NA</v>
      </c>
      <c r="AR116" s="79"/>
      <c r="AS116" s="79" t="s">
        <v>246</v>
      </c>
      <c r="AT116" s="151">
        <f>AT115</f>
        <v>0</v>
      </c>
      <c r="AU116" s="153" t="str">
        <f>IFERROR(((SUMPRODUCT(AU103:AU114,AT103:AT114))-ABS(SUMIFS(RX_REBATE[[#All],[Total Pharmacy Rebate Amount]],RX_REBATE[[#All],[Reporting Year]],2020,RX_REBATE[[#All],[Insurance Category Code]],5)))/AT116,"NA")</f>
        <v>NA</v>
      </c>
      <c r="AV116" s="153" t="str">
        <f>IFERROR(((SUMPRODUCT(AV103:AV114,AT103:AT114))-ABS(SUMIFS(RX_REBATE[[#All],[Total Pharmacy Rebate Amount]],RX_REBATE[[#All],[Reporting Year]],2020,RX_REBATE[[#All],[Insurance Category Code]],5)))/AT116,"NA")</f>
        <v>NA</v>
      </c>
      <c r="AW116" s="153" t="str">
        <f>IFERROR(((SUMPRODUCT(AW103:AW114,AT103:AT114))-ABS(SUMIFS(RX_REBATE[[#All],[Total Pharmacy Rebate Amount]],RX_REBATE[[#All],[Reporting Year]],2020,RX_REBATE[[#All],[Insurance Category Code]],5)))/AT116,"NA")</f>
        <v>NA</v>
      </c>
      <c r="AX116" s="153" t="str">
        <f>IFERROR(((SUMPRODUCT(AX103:AX114,AT103:AT114))-ABS(SUMIFS(RX_REBATE[[#All],[Total Pharmacy Rebate Amount]],RX_REBATE[[#All],[Reporting Year]],2020,RX_REBATE[[#All],[Insurance Category Code]],5)))/AT116,"NA")</f>
        <v>NA</v>
      </c>
      <c r="AY116" s="153" t="str">
        <f>IFERROR(((SUMPRODUCT(AY103:AY114,AT103:AT114))-ABS(SUMIFS(RX_REBATE[[#All],[Total Pharmacy Rebate Amount]],RX_REBATE[[#All],[Reporting Year]],2020,RX_REBATE[[#All],[Insurance Category Code]],5)))/AT116,"NA")</f>
        <v>NA</v>
      </c>
      <c r="AZ116" s="151">
        <f t="shared" ref="AZ116" si="191">AZ115</f>
        <v>0</v>
      </c>
      <c r="BA116" s="153" t="str">
        <f>IFERROR(((SUMPRODUCT(BA103:BA114,AZ103:AZ114))-ABS(SUMIFS(RX_REBATE[[#All],[Total Pharmacy Rebate Amount]],RX_REBATE[[#All],[Reporting Year]],2021,RX_REBATE[[#All],[Insurance Category Code]],5)))/AZ116,"NA")</f>
        <v>NA</v>
      </c>
      <c r="BB116" s="153" t="str">
        <f>IFERROR(((SUMPRODUCT(BB103:BB114,AZ103:AZ114))-ABS(SUMIFS(RX_REBATE[[#All],[Total Pharmacy Rebate Amount]],RX_REBATE[[#All],[Reporting Year]],2021,RX_REBATE[[#All],[Insurance Category Code]],5)))/AZ116,"NA")</f>
        <v>NA</v>
      </c>
      <c r="BC116" s="153" t="str">
        <f>IFERROR(((SUMPRODUCT(BC103:BC114,AZ103:AZ114))-ABS(SUMIFS(RX_REBATE[[#All],[Total Pharmacy Rebate Amount]],RX_REBATE[[#All],[Reporting Year]],2021,RX_REBATE[[#All],[Insurance Category Code]],5)))/AZ116,"NA")</f>
        <v>NA</v>
      </c>
      <c r="BD116" s="153" t="str">
        <f>IFERROR(((SUMPRODUCT(BD103:BD114,AZ103:AZ114))-ABS(SUMIFS(RX_REBATE[[#All],[Total Pharmacy Rebate Amount]],RX_REBATE[[#All],[Reporting Year]],2021,RX_REBATE[[#All],[Insurance Category Code]],5)))/AZ116,"NA")</f>
        <v>NA</v>
      </c>
      <c r="BE116" s="153" t="str">
        <f>IFERROR(((SUMPRODUCT(BE103:BE114,AZ103:AZ114))-ABS(SUMIFS(RX_REBATE[[#All],[Total Pharmacy Rebate Amount]],RX_REBATE[[#All],[Reporting Year]],2021,RX_REBATE[[#All],[Insurance Category Code]],5)))/AZ116,"NA")</f>
        <v>NA</v>
      </c>
      <c r="BF116" s="155" t="str">
        <f t="shared" si="183"/>
        <v>NA</v>
      </c>
      <c r="BG116" s="155" t="str">
        <f t="shared" si="184"/>
        <v>NA</v>
      </c>
      <c r="BH116" s="155" t="str">
        <f t="shared" si="185"/>
        <v>NA</v>
      </c>
      <c r="BI116" s="155" t="str">
        <f t="shared" si="186"/>
        <v>NA</v>
      </c>
      <c r="BJ116" s="155" t="str">
        <f t="shared" si="187"/>
        <v>NA</v>
      </c>
      <c r="BK116" s="155" t="str">
        <f t="shared" si="188"/>
        <v>NA</v>
      </c>
    </row>
    <row r="118" spans="2:63" x14ac:dyDescent="0.35">
      <c r="B118" s="71" t="s">
        <v>350</v>
      </c>
      <c r="W118" s="71" t="s">
        <v>351</v>
      </c>
      <c r="AR118" s="71" t="s">
        <v>352</v>
      </c>
    </row>
    <row r="119" spans="2:63" x14ac:dyDescent="0.35">
      <c r="B119" s="70" t="s">
        <v>307</v>
      </c>
      <c r="W119" s="70" t="s">
        <v>307</v>
      </c>
      <c r="AR119" s="70" t="s">
        <v>307</v>
      </c>
    </row>
    <row r="120" spans="2:63" x14ac:dyDescent="0.35">
      <c r="B120" s="218" t="s">
        <v>300</v>
      </c>
      <c r="C120" s="218"/>
      <c r="D120" s="215">
        <v>2018</v>
      </c>
      <c r="E120" s="216"/>
      <c r="F120" s="216"/>
      <c r="G120" s="216"/>
      <c r="H120" s="216"/>
      <c r="I120" s="217"/>
      <c r="J120" s="215">
        <v>2019</v>
      </c>
      <c r="K120" s="216"/>
      <c r="L120" s="216"/>
      <c r="M120" s="216"/>
      <c r="N120" s="216"/>
      <c r="O120" s="217"/>
      <c r="P120" s="218" t="s">
        <v>287</v>
      </c>
      <c r="Q120" s="218"/>
      <c r="R120" s="218"/>
      <c r="S120" s="218"/>
      <c r="T120" s="218"/>
      <c r="U120" s="218"/>
      <c r="W120" s="218" t="s">
        <v>300</v>
      </c>
      <c r="X120" s="218"/>
      <c r="Y120" s="215">
        <v>2019</v>
      </c>
      <c r="Z120" s="216"/>
      <c r="AA120" s="216"/>
      <c r="AB120" s="216"/>
      <c r="AC120" s="216"/>
      <c r="AD120" s="217"/>
      <c r="AE120" s="215">
        <v>2020</v>
      </c>
      <c r="AF120" s="216"/>
      <c r="AG120" s="216"/>
      <c r="AH120" s="216"/>
      <c r="AI120" s="216"/>
      <c r="AJ120" s="217"/>
      <c r="AK120" s="218" t="s">
        <v>288</v>
      </c>
      <c r="AL120" s="218"/>
      <c r="AM120" s="218"/>
      <c r="AN120" s="218"/>
      <c r="AO120" s="218"/>
      <c r="AP120" s="218"/>
      <c r="AR120" s="218" t="s">
        <v>300</v>
      </c>
      <c r="AS120" s="218"/>
      <c r="AT120" s="215">
        <v>2020</v>
      </c>
      <c r="AU120" s="216"/>
      <c r="AV120" s="216"/>
      <c r="AW120" s="216"/>
      <c r="AX120" s="216"/>
      <c r="AY120" s="217"/>
      <c r="AZ120" s="215">
        <v>2021</v>
      </c>
      <c r="BA120" s="216"/>
      <c r="BB120" s="216"/>
      <c r="BC120" s="216"/>
      <c r="BD120" s="216"/>
      <c r="BE120" s="217"/>
      <c r="BF120" s="218" t="s">
        <v>289</v>
      </c>
      <c r="BG120" s="218"/>
      <c r="BH120" s="218"/>
      <c r="BI120" s="218"/>
      <c r="BJ120" s="218"/>
      <c r="BK120" s="218"/>
    </row>
    <row r="121" spans="2:63" ht="43.5" x14ac:dyDescent="0.35">
      <c r="B121" s="97" t="s">
        <v>241</v>
      </c>
      <c r="C121" s="97" t="s">
        <v>242</v>
      </c>
      <c r="D121" s="97" t="s">
        <v>90</v>
      </c>
      <c r="E121" s="97" t="s">
        <v>267</v>
      </c>
      <c r="F121" s="97" t="s">
        <v>268</v>
      </c>
      <c r="G121" s="97" t="s">
        <v>243</v>
      </c>
      <c r="H121" s="97" t="s">
        <v>269</v>
      </c>
      <c r="I121" s="97" t="s">
        <v>244</v>
      </c>
      <c r="J121" s="97" t="s">
        <v>90</v>
      </c>
      <c r="K121" s="97" t="s">
        <v>267</v>
      </c>
      <c r="L121" s="97" t="s">
        <v>268</v>
      </c>
      <c r="M121" s="97" t="s">
        <v>243</v>
      </c>
      <c r="N121" s="97" t="s">
        <v>269</v>
      </c>
      <c r="O121" s="97" t="s">
        <v>244</v>
      </c>
      <c r="P121" s="97" t="s">
        <v>90</v>
      </c>
      <c r="Q121" s="97" t="s">
        <v>267</v>
      </c>
      <c r="R121" s="97" t="s">
        <v>268</v>
      </c>
      <c r="S121" s="97" t="s">
        <v>243</v>
      </c>
      <c r="T121" s="97" t="s">
        <v>269</v>
      </c>
      <c r="U121" s="97" t="s">
        <v>244</v>
      </c>
      <c r="W121" s="97" t="s">
        <v>241</v>
      </c>
      <c r="X121" s="97" t="s">
        <v>242</v>
      </c>
      <c r="Y121" s="97" t="s">
        <v>90</v>
      </c>
      <c r="Z121" s="97" t="s">
        <v>267</v>
      </c>
      <c r="AA121" s="97" t="s">
        <v>268</v>
      </c>
      <c r="AB121" s="97" t="s">
        <v>243</v>
      </c>
      <c r="AC121" s="97" t="s">
        <v>269</v>
      </c>
      <c r="AD121" s="97" t="s">
        <v>244</v>
      </c>
      <c r="AE121" s="97" t="s">
        <v>90</v>
      </c>
      <c r="AF121" s="97" t="s">
        <v>267</v>
      </c>
      <c r="AG121" s="97" t="s">
        <v>268</v>
      </c>
      <c r="AH121" s="97" t="s">
        <v>243</v>
      </c>
      <c r="AI121" s="97" t="s">
        <v>269</v>
      </c>
      <c r="AJ121" s="97" t="s">
        <v>244</v>
      </c>
      <c r="AK121" s="97" t="s">
        <v>90</v>
      </c>
      <c r="AL121" s="97" t="s">
        <v>267</v>
      </c>
      <c r="AM121" s="97" t="s">
        <v>268</v>
      </c>
      <c r="AN121" s="97" t="s">
        <v>243</v>
      </c>
      <c r="AO121" s="97" t="s">
        <v>269</v>
      </c>
      <c r="AP121" s="97" t="s">
        <v>244</v>
      </c>
      <c r="AR121" s="97" t="s">
        <v>241</v>
      </c>
      <c r="AS121" s="97" t="s">
        <v>242</v>
      </c>
      <c r="AT121" s="97" t="s">
        <v>90</v>
      </c>
      <c r="AU121" s="97" t="s">
        <v>267</v>
      </c>
      <c r="AV121" s="97" t="s">
        <v>268</v>
      </c>
      <c r="AW121" s="97" t="s">
        <v>243</v>
      </c>
      <c r="AX121" s="97" t="s">
        <v>269</v>
      </c>
      <c r="AY121" s="97" t="s">
        <v>244</v>
      </c>
      <c r="AZ121" s="97" t="s">
        <v>90</v>
      </c>
      <c r="BA121" s="97" t="s">
        <v>267</v>
      </c>
      <c r="BB121" s="97" t="s">
        <v>268</v>
      </c>
      <c r="BC121" s="97" t="s">
        <v>243</v>
      </c>
      <c r="BD121" s="97" t="s">
        <v>269</v>
      </c>
      <c r="BE121" s="97" t="s">
        <v>244</v>
      </c>
      <c r="BF121" s="97" t="s">
        <v>90</v>
      </c>
      <c r="BG121" s="97" t="s">
        <v>267</v>
      </c>
      <c r="BH121" s="97" t="s">
        <v>268</v>
      </c>
      <c r="BI121" s="97" t="s">
        <v>243</v>
      </c>
      <c r="BJ121" s="97" t="s">
        <v>269</v>
      </c>
      <c r="BK121" s="97" t="s">
        <v>244</v>
      </c>
    </row>
    <row r="122" spans="2:63" x14ac:dyDescent="0.35">
      <c r="B122" s="123">
        <v>101</v>
      </c>
      <c r="C122" s="103" t="s">
        <v>247</v>
      </c>
      <c r="D122" s="141">
        <f t="shared" ref="D122:D133" si="192">D141+D160</f>
        <v>0</v>
      </c>
      <c r="E122" s="152" t="str">
        <f t="shared" ref="E122:E135" si="193">IF(D122=0,"NA",(SUMPRODUCT(E141,D141)+SUMPRODUCT(E160,D160))/D122)</f>
        <v>NA</v>
      </c>
      <c r="F122" s="152" t="str">
        <f t="shared" ref="F122:F135" si="194">IF(D122=0,"NA",(SUMPRODUCT(F141,D141)+SUMPRODUCT(F160,D160))/D122)</f>
        <v>NA</v>
      </c>
      <c r="G122" s="152" t="str">
        <f t="shared" ref="G122:G135" si="195">IF(D122=0,"NA",(SUMPRODUCT(G141,D141)+SUMPRODUCT(G160,D160))/D122)</f>
        <v>NA</v>
      </c>
      <c r="H122" s="152" t="str">
        <f t="shared" ref="H122:H135" si="196">IF(D122=0,"NA",(SUMPRODUCT(H141,D141)+SUMPRODUCT(H160,D160))/D122)</f>
        <v>NA</v>
      </c>
      <c r="I122" s="152" t="str">
        <f t="shared" ref="I122:I133" si="197">IF(D122=0,"NA",(SUMPRODUCT(I141,D141)+SUMPRODUCT(I160,D160))/D122)</f>
        <v>NA</v>
      </c>
      <c r="J122" s="141">
        <f t="shared" ref="J122:J133" si="198">J141+J160</f>
        <v>0</v>
      </c>
      <c r="K122" s="152" t="str">
        <f t="shared" ref="K122:K135" si="199">IF(J122=0,"NA",(SUMPRODUCT(K141,J141)+SUMPRODUCT(K160,J160))/J122)</f>
        <v>NA</v>
      </c>
      <c r="L122" s="152" t="str">
        <f t="shared" ref="L122:L135" si="200">IF(J122=0,"NA",(SUMPRODUCT(L141,J141)+SUMPRODUCT(L160,J160))/J122)</f>
        <v>NA</v>
      </c>
      <c r="M122" s="152" t="str">
        <f t="shared" ref="M122:M135" si="201">IF(J122=0,"NA",(SUMPRODUCT(M141,J141)+SUMPRODUCT(M160,J160))/J122)</f>
        <v>NA</v>
      </c>
      <c r="N122" s="152" t="str">
        <f t="shared" ref="N122:N135" si="202">IF(J122=0,"NA",(SUMPRODUCT(N141,J141)+SUMPRODUCT(N160,J160))/J122)</f>
        <v>NA</v>
      </c>
      <c r="O122" s="152" t="str">
        <f t="shared" ref="O122:O133" si="203">IF(J122=0,"NA",(SUMPRODUCT(O141,J141)+SUMPRODUCT(O160,J160))/J122)</f>
        <v>NA</v>
      </c>
      <c r="P122" s="154" t="str">
        <f t="shared" ref="P122:P135" si="204">IFERROR((J122/D122-1),"NA")</f>
        <v>NA</v>
      </c>
      <c r="Q122" s="154" t="str">
        <f t="shared" ref="Q122:Q135" si="205">IFERROR((K122/E122-1),"NA")</f>
        <v>NA</v>
      </c>
      <c r="R122" s="154" t="str">
        <f t="shared" ref="R122:R135" si="206">IFERROR((L122/F122-1),"NA")</f>
        <v>NA</v>
      </c>
      <c r="S122" s="154" t="str">
        <f t="shared" ref="S122:S135" si="207">IFERROR((M122/G122-1),"NA")</f>
        <v>NA</v>
      </c>
      <c r="T122" s="154" t="str">
        <f t="shared" ref="T122:T135" si="208">IFERROR((N122/H122-1),"NA")</f>
        <v>NA</v>
      </c>
      <c r="U122" s="154" t="str">
        <f t="shared" ref="U122:U135" si="209">IFERROR((O122/I122-1),"NA")</f>
        <v>NA</v>
      </c>
      <c r="W122" s="123">
        <v>101</v>
      </c>
      <c r="X122" s="103" t="s">
        <v>247</v>
      </c>
      <c r="Y122" s="141">
        <f t="shared" ref="Y122:Y133" si="210">Y141+Y160</f>
        <v>0</v>
      </c>
      <c r="Z122" s="152" t="str">
        <f t="shared" ref="Z122:Z135" si="211">IF(Y122=0,"NA",(SUMPRODUCT(Z141,Y141)+SUMPRODUCT(Z160,Y160))/Y122)</f>
        <v>NA</v>
      </c>
      <c r="AA122" s="152" t="str">
        <f t="shared" ref="AA122:AA135" si="212">IF(Y122=0,"NA",(SUMPRODUCT(AA141,Y141)+SUMPRODUCT(AA160,Y160))/Y122)</f>
        <v>NA</v>
      </c>
      <c r="AB122" s="152" t="str">
        <f t="shared" ref="AB122:AB135" si="213">IF(Y122=0,"NA",(SUMPRODUCT(AB141,Y141)+SUMPRODUCT(AB160,Y160))/Y122)</f>
        <v>NA</v>
      </c>
      <c r="AC122" s="152" t="str">
        <f t="shared" ref="AC122:AC135" si="214">IF(Y122=0,"NA",(SUMPRODUCT(AC141,Y141)+SUMPRODUCT(AC160,Y160))/Y122)</f>
        <v>NA</v>
      </c>
      <c r="AD122" s="152" t="str">
        <f t="shared" ref="AD122:AD133" si="215">IF(Y122=0,"NA",(SUMPRODUCT(AD141,AC141)+SUMPRODUCT(AD160,AC160))/Y122)</f>
        <v>NA</v>
      </c>
      <c r="AE122" s="141">
        <f t="shared" ref="AE122:AE133" si="216">AE141+AE160</f>
        <v>0</v>
      </c>
      <c r="AF122" s="152" t="str">
        <f t="shared" ref="AF122:AF135" si="217">IF(AE122=0,"NA",(SUMPRODUCT(AF141,AE141)+SUMPRODUCT(AF160,AE160))/AE122)</f>
        <v>NA</v>
      </c>
      <c r="AG122" s="152" t="str">
        <f t="shared" ref="AG122:AG135" si="218">IF(AE122=0,"NA",(SUMPRODUCT(AG141,AE141)+SUMPRODUCT(AG160,AE160))/AE122)</f>
        <v>NA</v>
      </c>
      <c r="AH122" s="152" t="str">
        <f t="shared" ref="AH122:AH135" si="219">IF(AE122=0,"NA",(SUMPRODUCT(AH141,AE141)+SUMPRODUCT(AH160,AE160))/AE122)</f>
        <v>NA</v>
      </c>
      <c r="AI122" s="152" t="str">
        <f t="shared" ref="AI122:AI135" si="220">IF(AE122=0,"NA",(SUMPRODUCT(AI141,AE141)+SUMPRODUCT(AI160,AE160))/AE122)</f>
        <v>NA</v>
      </c>
      <c r="AJ122" s="152" t="str">
        <f t="shared" ref="AJ122:AJ133" si="221">IF(AE122=0,"NA",(SUMPRODUCT(AJ141,AI141)+SUMPRODUCT(AJ160,AI160))/AE122)</f>
        <v>NA</v>
      </c>
      <c r="AK122" s="154" t="str">
        <f t="shared" ref="AK122:AK135" si="222">IFERROR((AE122/Y122-1),"NA")</f>
        <v>NA</v>
      </c>
      <c r="AL122" s="154" t="str">
        <f t="shared" ref="AL122:AL135" si="223">IFERROR((AF122/Z122-1),"NA")</f>
        <v>NA</v>
      </c>
      <c r="AM122" s="154" t="str">
        <f t="shared" ref="AM122:AM135" si="224">IFERROR((AG122/AA122-1),"NA")</f>
        <v>NA</v>
      </c>
      <c r="AN122" s="154" t="str">
        <f t="shared" ref="AN122:AN135" si="225">IFERROR((AH122/AB122-1),"NA")</f>
        <v>NA</v>
      </c>
      <c r="AO122" s="154" t="str">
        <f t="shared" ref="AO122:AO135" si="226">IFERROR((AI122/AC122-1),"NA")</f>
        <v>NA</v>
      </c>
      <c r="AP122" s="154" t="str">
        <f t="shared" ref="AP122:AP135" si="227">IFERROR((AJ122/AD122-1),"NA")</f>
        <v>NA</v>
      </c>
      <c r="AR122" s="123">
        <v>101</v>
      </c>
      <c r="AS122" s="103" t="s">
        <v>247</v>
      </c>
      <c r="AT122" s="141">
        <f t="shared" ref="AT122:AT133" si="228">AT141+AT160</f>
        <v>0</v>
      </c>
      <c r="AU122" s="152" t="str">
        <f t="shared" ref="AU122:AU135" si="229">IF(AT122=0,"NA",(SUMPRODUCT(AU141,AT141)+SUMPRODUCT(AU160,AT160))/AT122)</f>
        <v>NA</v>
      </c>
      <c r="AV122" s="152" t="str">
        <f t="shared" ref="AV122:AV135" si="230">IF(AT122=0,"NA",(SUMPRODUCT(AV141,AT141)+SUMPRODUCT(AV160,AT160))/AT122)</f>
        <v>NA</v>
      </c>
      <c r="AW122" s="152" t="str">
        <f t="shared" ref="AW122:AW135" si="231">IF(AT122=0,"NA",(SUMPRODUCT(AW141,AT141)+SUMPRODUCT(AW160,AT160))/AT122)</f>
        <v>NA</v>
      </c>
      <c r="AX122" s="152" t="str">
        <f t="shared" ref="AX122:AX135" si="232">IF(AT122=0,"NA",(SUMPRODUCT(AX141,AT141)+SUMPRODUCT(AX160,AT160))/AT122)</f>
        <v>NA</v>
      </c>
      <c r="AY122" s="152" t="str">
        <f t="shared" ref="AY122:AY133" si="233">IF(AT122=0,"NA",(SUMPRODUCT(AY141,AX141)+SUMPRODUCT(AY160,AX160))/AT122)</f>
        <v>NA</v>
      </c>
      <c r="AZ122" s="141">
        <f t="shared" ref="AZ122:AZ133" si="234">AZ141+AZ160</f>
        <v>0</v>
      </c>
      <c r="BA122" s="152" t="str">
        <f t="shared" ref="BA122:BA135" si="235">IF(AZ122=0,"NA",(SUMPRODUCT(BA141,AZ141)+SUMPRODUCT(BA160,AZ160))/AZ122)</f>
        <v>NA</v>
      </c>
      <c r="BB122" s="152" t="str">
        <f t="shared" ref="BB122:BB135" si="236">IF(AZ122=0,"NA",(SUMPRODUCT(BB141,AZ141)+SUMPRODUCT(BB160,AZ160))/AZ122)</f>
        <v>NA</v>
      </c>
      <c r="BC122" s="152" t="str">
        <f t="shared" ref="BC122:BC135" si="237">IF(AZ122=0,"NA",(SUMPRODUCT(BC141,AZ141)+SUMPRODUCT(BC160,AZ160))/AZ122)</f>
        <v>NA</v>
      </c>
      <c r="BD122" s="152" t="str">
        <f t="shared" ref="BD122:BD135" si="238">IF(AZ122=0,"NA",(SUMPRODUCT(BD141,AZ141)+SUMPRODUCT(BD160,AZ160))/AZ122)</f>
        <v>NA</v>
      </c>
      <c r="BE122" s="152" t="str">
        <f t="shared" ref="BE122:BE133" si="239">IF(AZ122=0,"NA",(SUMPRODUCT(BE141,BD141)+SUMPRODUCT(BE160,BD160))/AZ122)</f>
        <v>NA</v>
      </c>
      <c r="BF122" s="154" t="str">
        <f t="shared" ref="BF122:BF135" si="240">IFERROR((AZ122/AT122-1),"NA")</f>
        <v>NA</v>
      </c>
      <c r="BG122" s="154" t="str">
        <f t="shared" ref="BG122:BG135" si="241">IFERROR((BA122/AU122-1),"NA")</f>
        <v>NA</v>
      </c>
      <c r="BH122" s="154" t="str">
        <f t="shared" ref="BH122:BH135" si="242">IFERROR((BB122/AV122-1),"NA")</f>
        <v>NA</v>
      </c>
      <c r="BI122" s="154" t="str">
        <f t="shared" ref="BI122:BI135" si="243">IFERROR((BC122/AW122-1),"NA")</f>
        <v>NA</v>
      </c>
      <c r="BJ122" s="154" t="str">
        <f t="shared" ref="BJ122:BJ135" si="244">IFERROR((BD122/AX122-1),"NA")</f>
        <v>NA</v>
      </c>
      <c r="BK122" s="154" t="str">
        <f t="shared" ref="BK122:BK135" si="245">IFERROR((BE122/AY122-1),"NA")</f>
        <v>NA</v>
      </c>
    </row>
    <row r="123" spans="2:63" x14ac:dyDescent="0.35">
      <c r="B123" s="123">
        <v>102</v>
      </c>
      <c r="C123" s="103" t="s">
        <v>292</v>
      </c>
      <c r="D123" s="141">
        <f t="shared" si="192"/>
        <v>0</v>
      </c>
      <c r="E123" s="152" t="str">
        <f t="shared" si="193"/>
        <v>NA</v>
      </c>
      <c r="F123" s="152" t="str">
        <f t="shared" si="194"/>
        <v>NA</v>
      </c>
      <c r="G123" s="152" t="str">
        <f t="shared" si="195"/>
        <v>NA</v>
      </c>
      <c r="H123" s="152" t="str">
        <f t="shared" si="196"/>
        <v>NA</v>
      </c>
      <c r="I123" s="152" t="str">
        <f t="shared" si="197"/>
        <v>NA</v>
      </c>
      <c r="J123" s="141">
        <f t="shared" si="198"/>
        <v>0</v>
      </c>
      <c r="K123" s="152" t="str">
        <f t="shared" si="199"/>
        <v>NA</v>
      </c>
      <c r="L123" s="152" t="str">
        <f t="shared" si="200"/>
        <v>NA</v>
      </c>
      <c r="M123" s="152" t="str">
        <f t="shared" si="201"/>
        <v>NA</v>
      </c>
      <c r="N123" s="152" t="str">
        <f t="shared" si="202"/>
        <v>NA</v>
      </c>
      <c r="O123" s="152" t="str">
        <f t="shared" si="203"/>
        <v>NA</v>
      </c>
      <c r="P123" s="154" t="str">
        <f t="shared" si="204"/>
        <v>NA</v>
      </c>
      <c r="Q123" s="154" t="str">
        <f t="shared" si="205"/>
        <v>NA</v>
      </c>
      <c r="R123" s="154" t="str">
        <f t="shared" si="206"/>
        <v>NA</v>
      </c>
      <c r="S123" s="154" t="str">
        <f t="shared" si="207"/>
        <v>NA</v>
      </c>
      <c r="T123" s="154" t="str">
        <f t="shared" si="208"/>
        <v>NA</v>
      </c>
      <c r="U123" s="154" t="str">
        <f t="shared" si="209"/>
        <v>NA</v>
      </c>
      <c r="W123" s="123">
        <v>102</v>
      </c>
      <c r="X123" s="103" t="s">
        <v>292</v>
      </c>
      <c r="Y123" s="141">
        <f t="shared" si="210"/>
        <v>0</v>
      </c>
      <c r="Z123" s="152" t="str">
        <f t="shared" si="211"/>
        <v>NA</v>
      </c>
      <c r="AA123" s="152" t="str">
        <f t="shared" si="212"/>
        <v>NA</v>
      </c>
      <c r="AB123" s="152" t="str">
        <f t="shared" si="213"/>
        <v>NA</v>
      </c>
      <c r="AC123" s="152" t="str">
        <f t="shared" si="214"/>
        <v>NA</v>
      </c>
      <c r="AD123" s="152" t="str">
        <f t="shared" si="215"/>
        <v>NA</v>
      </c>
      <c r="AE123" s="141">
        <f t="shared" si="216"/>
        <v>0</v>
      </c>
      <c r="AF123" s="152" t="str">
        <f t="shared" si="217"/>
        <v>NA</v>
      </c>
      <c r="AG123" s="152" t="str">
        <f t="shared" si="218"/>
        <v>NA</v>
      </c>
      <c r="AH123" s="152" t="str">
        <f t="shared" si="219"/>
        <v>NA</v>
      </c>
      <c r="AI123" s="152" t="str">
        <f t="shared" si="220"/>
        <v>NA</v>
      </c>
      <c r="AJ123" s="152" t="str">
        <f t="shared" si="221"/>
        <v>NA</v>
      </c>
      <c r="AK123" s="154" t="str">
        <f t="shared" si="222"/>
        <v>NA</v>
      </c>
      <c r="AL123" s="154" t="str">
        <f t="shared" si="223"/>
        <v>NA</v>
      </c>
      <c r="AM123" s="154" t="str">
        <f t="shared" si="224"/>
        <v>NA</v>
      </c>
      <c r="AN123" s="154" t="str">
        <f t="shared" si="225"/>
        <v>NA</v>
      </c>
      <c r="AO123" s="154" t="str">
        <f t="shared" si="226"/>
        <v>NA</v>
      </c>
      <c r="AP123" s="154" t="str">
        <f t="shared" si="227"/>
        <v>NA</v>
      </c>
      <c r="AR123" s="123">
        <v>102</v>
      </c>
      <c r="AS123" s="103" t="s">
        <v>292</v>
      </c>
      <c r="AT123" s="141">
        <f t="shared" si="228"/>
        <v>0</v>
      </c>
      <c r="AU123" s="152" t="str">
        <f t="shared" si="229"/>
        <v>NA</v>
      </c>
      <c r="AV123" s="152" t="str">
        <f t="shared" si="230"/>
        <v>NA</v>
      </c>
      <c r="AW123" s="152" t="str">
        <f t="shared" si="231"/>
        <v>NA</v>
      </c>
      <c r="AX123" s="152" t="str">
        <f t="shared" si="232"/>
        <v>NA</v>
      </c>
      <c r="AY123" s="152" t="str">
        <f t="shared" si="233"/>
        <v>NA</v>
      </c>
      <c r="AZ123" s="141">
        <f t="shared" si="234"/>
        <v>0</v>
      </c>
      <c r="BA123" s="152" t="str">
        <f t="shared" si="235"/>
        <v>NA</v>
      </c>
      <c r="BB123" s="152" t="str">
        <f t="shared" si="236"/>
        <v>NA</v>
      </c>
      <c r="BC123" s="152" t="str">
        <f t="shared" si="237"/>
        <v>NA</v>
      </c>
      <c r="BD123" s="152" t="str">
        <f t="shared" si="238"/>
        <v>NA</v>
      </c>
      <c r="BE123" s="152" t="str">
        <f t="shared" si="239"/>
        <v>NA</v>
      </c>
      <c r="BF123" s="154" t="str">
        <f t="shared" si="240"/>
        <v>NA</v>
      </c>
      <c r="BG123" s="154" t="str">
        <f t="shared" si="241"/>
        <v>NA</v>
      </c>
      <c r="BH123" s="154" t="str">
        <f t="shared" si="242"/>
        <v>NA</v>
      </c>
      <c r="BI123" s="154" t="str">
        <f t="shared" si="243"/>
        <v>NA</v>
      </c>
      <c r="BJ123" s="154" t="str">
        <f t="shared" si="244"/>
        <v>NA</v>
      </c>
      <c r="BK123" s="154" t="str">
        <f t="shared" si="245"/>
        <v>NA</v>
      </c>
    </row>
    <row r="124" spans="2:63" x14ac:dyDescent="0.35">
      <c r="B124" s="123">
        <v>103</v>
      </c>
      <c r="C124" s="103" t="s">
        <v>248</v>
      </c>
      <c r="D124" s="141">
        <f t="shared" si="192"/>
        <v>0</v>
      </c>
      <c r="E124" s="152" t="str">
        <f t="shared" si="193"/>
        <v>NA</v>
      </c>
      <c r="F124" s="152" t="str">
        <f t="shared" si="194"/>
        <v>NA</v>
      </c>
      <c r="G124" s="152" t="str">
        <f t="shared" si="195"/>
        <v>NA</v>
      </c>
      <c r="H124" s="152" t="str">
        <f t="shared" si="196"/>
        <v>NA</v>
      </c>
      <c r="I124" s="152" t="str">
        <f t="shared" si="197"/>
        <v>NA</v>
      </c>
      <c r="J124" s="141">
        <f t="shared" si="198"/>
        <v>0</v>
      </c>
      <c r="K124" s="152" t="str">
        <f t="shared" si="199"/>
        <v>NA</v>
      </c>
      <c r="L124" s="152" t="str">
        <f t="shared" si="200"/>
        <v>NA</v>
      </c>
      <c r="M124" s="152" t="str">
        <f t="shared" si="201"/>
        <v>NA</v>
      </c>
      <c r="N124" s="152" t="str">
        <f t="shared" si="202"/>
        <v>NA</v>
      </c>
      <c r="O124" s="152" t="str">
        <f t="shared" si="203"/>
        <v>NA</v>
      </c>
      <c r="P124" s="154" t="str">
        <f t="shared" si="204"/>
        <v>NA</v>
      </c>
      <c r="Q124" s="154" t="str">
        <f t="shared" si="205"/>
        <v>NA</v>
      </c>
      <c r="R124" s="154" t="str">
        <f t="shared" si="206"/>
        <v>NA</v>
      </c>
      <c r="S124" s="154" t="str">
        <f t="shared" si="207"/>
        <v>NA</v>
      </c>
      <c r="T124" s="154" t="str">
        <f t="shared" si="208"/>
        <v>NA</v>
      </c>
      <c r="U124" s="154" t="str">
        <f t="shared" si="209"/>
        <v>NA</v>
      </c>
      <c r="W124" s="123">
        <v>103</v>
      </c>
      <c r="X124" s="103" t="s">
        <v>248</v>
      </c>
      <c r="Y124" s="141">
        <f t="shared" si="210"/>
        <v>0</v>
      </c>
      <c r="Z124" s="152" t="str">
        <f t="shared" si="211"/>
        <v>NA</v>
      </c>
      <c r="AA124" s="152" t="str">
        <f t="shared" si="212"/>
        <v>NA</v>
      </c>
      <c r="AB124" s="152" t="str">
        <f t="shared" si="213"/>
        <v>NA</v>
      </c>
      <c r="AC124" s="152" t="str">
        <f t="shared" si="214"/>
        <v>NA</v>
      </c>
      <c r="AD124" s="152" t="str">
        <f t="shared" si="215"/>
        <v>NA</v>
      </c>
      <c r="AE124" s="141">
        <f t="shared" si="216"/>
        <v>0</v>
      </c>
      <c r="AF124" s="152" t="str">
        <f t="shared" si="217"/>
        <v>NA</v>
      </c>
      <c r="AG124" s="152" t="str">
        <f t="shared" si="218"/>
        <v>NA</v>
      </c>
      <c r="AH124" s="152" t="str">
        <f t="shared" si="219"/>
        <v>NA</v>
      </c>
      <c r="AI124" s="152" t="str">
        <f t="shared" si="220"/>
        <v>NA</v>
      </c>
      <c r="AJ124" s="152" t="str">
        <f t="shared" si="221"/>
        <v>NA</v>
      </c>
      <c r="AK124" s="154" t="str">
        <f t="shared" si="222"/>
        <v>NA</v>
      </c>
      <c r="AL124" s="154" t="str">
        <f t="shared" si="223"/>
        <v>NA</v>
      </c>
      <c r="AM124" s="154" t="str">
        <f t="shared" si="224"/>
        <v>NA</v>
      </c>
      <c r="AN124" s="154" t="str">
        <f t="shared" si="225"/>
        <v>NA</v>
      </c>
      <c r="AO124" s="154" t="str">
        <f t="shared" si="226"/>
        <v>NA</v>
      </c>
      <c r="AP124" s="154" t="str">
        <f t="shared" si="227"/>
        <v>NA</v>
      </c>
      <c r="AR124" s="123">
        <v>103</v>
      </c>
      <c r="AS124" s="103" t="s">
        <v>248</v>
      </c>
      <c r="AT124" s="141">
        <f t="shared" si="228"/>
        <v>0</v>
      </c>
      <c r="AU124" s="152" t="str">
        <f t="shared" si="229"/>
        <v>NA</v>
      </c>
      <c r="AV124" s="152" t="str">
        <f t="shared" si="230"/>
        <v>NA</v>
      </c>
      <c r="AW124" s="152" t="str">
        <f t="shared" si="231"/>
        <v>NA</v>
      </c>
      <c r="AX124" s="152" t="str">
        <f t="shared" si="232"/>
        <v>NA</v>
      </c>
      <c r="AY124" s="152" t="str">
        <f t="shared" si="233"/>
        <v>NA</v>
      </c>
      <c r="AZ124" s="141">
        <f t="shared" si="234"/>
        <v>0</v>
      </c>
      <c r="BA124" s="152" t="str">
        <f t="shared" si="235"/>
        <v>NA</v>
      </c>
      <c r="BB124" s="152" t="str">
        <f t="shared" si="236"/>
        <v>NA</v>
      </c>
      <c r="BC124" s="152" t="str">
        <f t="shared" si="237"/>
        <v>NA</v>
      </c>
      <c r="BD124" s="152" t="str">
        <f t="shared" si="238"/>
        <v>NA</v>
      </c>
      <c r="BE124" s="152" t="str">
        <f t="shared" si="239"/>
        <v>NA</v>
      </c>
      <c r="BF124" s="154" t="str">
        <f t="shared" si="240"/>
        <v>NA</v>
      </c>
      <c r="BG124" s="154" t="str">
        <f t="shared" si="241"/>
        <v>NA</v>
      </c>
      <c r="BH124" s="154" t="str">
        <f t="shared" si="242"/>
        <v>NA</v>
      </c>
      <c r="BI124" s="154" t="str">
        <f t="shared" si="243"/>
        <v>NA</v>
      </c>
      <c r="BJ124" s="154" t="str">
        <f t="shared" si="244"/>
        <v>NA</v>
      </c>
      <c r="BK124" s="154" t="str">
        <f t="shared" si="245"/>
        <v>NA</v>
      </c>
    </row>
    <row r="125" spans="2:63" x14ac:dyDescent="0.35">
      <c r="B125" s="123">
        <v>104</v>
      </c>
      <c r="C125" s="103" t="s">
        <v>249</v>
      </c>
      <c r="D125" s="141">
        <f t="shared" si="192"/>
        <v>0</v>
      </c>
      <c r="E125" s="152" t="str">
        <f t="shared" si="193"/>
        <v>NA</v>
      </c>
      <c r="F125" s="152" t="str">
        <f t="shared" si="194"/>
        <v>NA</v>
      </c>
      <c r="G125" s="152" t="str">
        <f t="shared" si="195"/>
        <v>NA</v>
      </c>
      <c r="H125" s="152" t="str">
        <f t="shared" si="196"/>
        <v>NA</v>
      </c>
      <c r="I125" s="152" t="str">
        <f t="shared" si="197"/>
        <v>NA</v>
      </c>
      <c r="J125" s="141">
        <f t="shared" si="198"/>
        <v>0</v>
      </c>
      <c r="K125" s="152" t="str">
        <f t="shared" si="199"/>
        <v>NA</v>
      </c>
      <c r="L125" s="152" t="str">
        <f t="shared" si="200"/>
        <v>NA</v>
      </c>
      <c r="M125" s="152" t="str">
        <f t="shared" si="201"/>
        <v>NA</v>
      </c>
      <c r="N125" s="152" t="str">
        <f t="shared" si="202"/>
        <v>NA</v>
      </c>
      <c r="O125" s="152" t="str">
        <f t="shared" si="203"/>
        <v>NA</v>
      </c>
      <c r="P125" s="154" t="str">
        <f t="shared" si="204"/>
        <v>NA</v>
      </c>
      <c r="Q125" s="154" t="str">
        <f t="shared" si="205"/>
        <v>NA</v>
      </c>
      <c r="R125" s="154" t="str">
        <f t="shared" si="206"/>
        <v>NA</v>
      </c>
      <c r="S125" s="154" t="str">
        <f t="shared" si="207"/>
        <v>NA</v>
      </c>
      <c r="T125" s="154" t="str">
        <f t="shared" si="208"/>
        <v>NA</v>
      </c>
      <c r="U125" s="154" t="str">
        <f t="shared" si="209"/>
        <v>NA</v>
      </c>
      <c r="W125" s="123">
        <v>104</v>
      </c>
      <c r="X125" s="103" t="s">
        <v>249</v>
      </c>
      <c r="Y125" s="141">
        <f t="shared" si="210"/>
        <v>0</v>
      </c>
      <c r="Z125" s="152" t="str">
        <f t="shared" si="211"/>
        <v>NA</v>
      </c>
      <c r="AA125" s="152" t="str">
        <f t="shared" si="212"/>
        <v>NA</v>
      </c>
      <c r="AB125" s="152" t="str">
        <f t="shared" si="213"/>
        <v>NA</v>
      </c>
      <c r="AC125" s="152" t="str">
        <f t="shared" si="214"/>
        <v>NA</v>
      </c>
      <c r="AD125" s="152" t="str">
        <f t="shared" si="215"/>
        <v>NA</v>
      </c>
      <c r="AE125" s="141">
        <f t="shared" si="216"/>
        <v>0</v>
      </c>
      <c r="AF125" s="152" t="str">
        <f t="shared" si="217"/>
        <v>NA</v>
      </c>
      <c r="AG125" s="152" t="str">
        <f t="shared" si="218"/>
        <v>NA</v>
      </c>
      <c r="AH125" s="152" t="str">
        <f t="shared" si="219"/>
        <v>NA</v>
      </c>
      <c r="AI125" s="152" t="str">
        <f t="shared" si="220"/>
        <v>NA</v>
      </c>
      <c r="AJ125" s="152" t="str">
        <f t="shared" si="221"/>
        <v>NA</v>
      </c>
      <c r="AK125" s="154" t="str">
        <f t="shared" si="222"/>
        <v>NA</v>
      </c>
      <c r="AL125" s="154" t="str">
        <f t="shared" si="223"/>
        <v>NA</v>
      </c>
      <c r="AM125" s="154" t="str">
        <f t="shared" si="224"/>
        <v>NA</v>
      </c>
      <c r="AN125" s="154" t="str">
        <f t="shared" si="225"/>
        <v>NA</v>
      </c>
      <c r="AO125" s="154" t="str">
        <f t="shared" si="226"/>
        <v>NA</v>
      </c>
      <c r="AP125" s="154" t="str">
        <f t="shared" si="227"/>
        <v>NA</v>
      </c>
      <c r="AR125" s="123">
        <v>104</v>
      </c>
      <c r="AS125" s="103" t="s">
        <v>249</v>
      </c>
      <c r="AT125" s="141">
        <f t="shared" si="228"/>
        <v>0</v>
      </c>
      <c r="AU125" s="152" t="str">
        <f t="shared" si="229"/>
        <v>NA</v>
      </c>
      <c r="AV125" s="152" t="str">
        <f t="shared" si="230"/>
        <v>NA</v>
      </c>
      <c r="AW125" s="152" t="str">
        <f t="shared" si="231"/>
        <v>NA</v>
      </c>
      <c r="AX125" s="152" t="str">
        <f t="shared" si="232"/>
        <v>NA</v>
      </c>
      <c r="AY125" s="152" t="str">
        <f t="shared" si="233"/>
        <v>NA</v>
      </c>
      <c r="AZ125" s="141">
        <f t="shared" si="234"/>
        <v>0</v>
      </c>
      <c r="BA125" s="152" t="str">
        <f t="shared" si="235"/>
        <v>NA</v>
      </c>
      <c r="BB125" s="152" t="str">
        <f t="shared" si="236"/>
        <v>NA</v>
      </c>
      <c r="BC125" s="152" t="str">
        <f t="shared" si="237"/>
        <v>NA</v>
      </c>
      <c r="BD125" s="152" t="str">
        <f t="shared" si="238"/>
        <v>NA</v>
      </c>
      <c r="BE125" s="152" t="str">
        <f t="shared" si="239"/>
        <v>NA</v>
      </c>
      <c r="BF125" s="154" t="str">
        <f t="shared" si="240"/>
        <v>NA</v>
      </c>
      <c r="BG125" s="154" t="str">
        <f t="shared" si="241"/>
        <v>NA</v>
      </c>
      <c r="BH125" s="154" t="str">
        <f t="shared" si="242"/>
        <v>NA</v>
      </c>
      <c r="BI125" s="154" t="str">
        <f t="shared" si="243"/>
        <v>NA</v>
      </c>
      <c r="BJ125" s="154" t="str">
        <f t="shared" si="244"/>
        <v>NA</v>
      </c>
      <c r="BK125" s="154" t="str">
        <f t="shared" si="245"/>
        <v>NA</v>
      </c>
    </row>
    <row r="126" spans="2:63" x14ac:dyDescent="0.35">
      <c r="B126" s="123">
        <v>105</v>
      </c>
      <c r="C126" s="103" t="s">
        <v>293</v>
      </c>
      <c r="D126" s="141">
        <f t="shared" si="192"/>
        <v>0</v>
      </c>
      <c r="E126" s="152" t="str">
        <f t="shared" si="193"/>
        <v>NA</v>
      </c>
      <c r="F126" s="152" t="str">
        <f t="shared" si="194"/>
        <v>NA</v>
      </c>
      <c r="G126" s="152" t="str">
        <f t="shared" si="195"/>
        <v>NA</v>
      </c>
      <c r="H126" s="152" t="str">
        <f t="shared" si="196"/>
        <v>NA</v>
      </c>
      <c r="I126" s="152" t="str">
        <f t="shared" si="197"/>
        <v>NA</v>
      </c>
      <c r="J126" s="141">
        <f t="shared" si="198"/>
        <v>0</v>
      </c>
      <c r="K126" s="152" t="str">
        <f t="shared" si="199"/>
        <v>NA</v>
      </c>
      <c r="L126" s="152" t="str">
        <f t="shared" si="200"/>
        <v>NA</v>
      </c>
      <c r="M126" s="152" t="str">
        <f t="shared" si="201"/>
        <v>NA</v>
      </c>
      <c r="N126" s="152" t="str">
        <f t="shared" si="202"/>
        <v>NA</v>
      </c>
      <c r="O126" s="152" t="str">
        <f t="shared" si="203"/>
        <v>NA</v>
      </c>
      <c r="P126" s="154" t="str">
        <f t="shared" si="204"/>
        <v>NA</v>
      </c>
      <c r="Q126" s="154" t="str">
        <f t="shared" si="205"/>
        <v>NA</v>
      </c>
      <c r="R126" s="154" t="str">
        <f t="shared" si="206"/>
        <v>NA</v>
      </c>
      <c r="S126" s="154" t="str">
        <f t="shared" si="207"/>
        <v>NA</v>
      </c>
      <c r="T126" s="154" t="str">
        <f t="shared" si="208"/>
        <v>NA</v>
      </c>
      <c r="U126" s="154" t="str">
        <f t="shared" si="209"/>
        <v>NA</v>
      </c>
      <c r="W126" s="123">
        <v>105</v>
      </c>
      <c r="X126" s="103" t="s">
        <v>293</v>
      </c>
      <c r="Y126" s="141">
        <f t="shared" si="210"/>
        <v>0</v>
      </c>
      <c r="Z126" s="152" t="str">
        <f t="shared" si="211"/>
        <v>NA</v>
      </c>
      <c r="AA126" s="152" t="str">
        <f t="shared" si="212"/>
        <v>NA</v>
      </c>
      <c r="AB126" s="152" t="str">
        <f t="shared" si="213"/>
        <v>NA</v>
      </c>
      <c r="AC126" s="152" t="str">
        <f t="shared" si="214"/>
        <v>NA</v>
      </c>
      <c r="AD126" s="152" t="str">
        <f t="shared" si="215"/>
        <v>NA</v>
      </c>
      <c r="AE126" s="141">
        <f t="shared" si="216"/>
        <v>0</v>
      </c>
      <c r="AF126" s="152" t="str">
        <f t="shared" si="217"/>
        <v>NA</v>
      </c>
      <c r="AG126" s="152" t="str">
        <f t="shared" si="218"/>
        <v>NA</v>
      </c>
      <c r="AH126" s="152" t="str">
        <f t="shared" si="219"/>
        <v>NA</v>
      </c>
      <c r="AI126" s="152" t="str">
        <f t="shared" si="220"/>
        <v>NA</v>
      </c>
      <c r="AJ126" s="152" t="str">
        <f t="shared" si="221"/>
        <v>NA</v>
      </c>
      <c r="AK126" s="154" t="str">
        <f t="shared" si="222"/>
        <v>NA</v>
      </c>
      <c r="AL126" s="154" t="str">
        <f t="shared" si="223"/>
        <v>NA</v>
      </c>
      <c r="AM126" s="154" t="str">
        <f t="shared" si="224"/>
        <v>NA</v>
      </c>
      <c r="AN126" s="154" t="str">
        <f t="shared" si="225"/>
        <v>NA</v>
      </c>
      <c r="AO126" s="154" t="str">
        <f t="shared" si="226"/>
        <v>NA</v>
      </c>
      <c r="AP126" s="154" t="str">
        <f t="shared" si="227"/>
        <v>NA</v>
      </c>
      <c r="AR126" s="123">
        <v>105</v>
      </c>
      <c r="AS126" s="103" t="s">
        <v>293</v>
      </c>
      <c r="AT126" s="141">
        <f t="shared" si="228"/>
        <v>0</v>
      </c>
      <c r="AU126" s="152" t="str">
        <f t="shared" si="229"/>
        <v>NA</v>
      </c>
      <c r="AV126" s="152" t="str">
        <f t="shared" si="230"/>
        <v>NA</v>
      </c>
      <c r="AW126" s="152" t="str">
        <f t="shared" si="231"/>
        <v>NA</v>
      </c>
      <c r="AX126" s="152" t="str">
        <f t="shared" si="232"/>
        <v>NA</v>
      </c>
      <c r="AY126" s="152" t="str">
        <f t="shared" si="233"/>
        <v>NA</v>
      </c>
      <c r="AZ126" s="141">
        <f t="shared" si="234"/>
        <v>0</v>
      </c>
      <c r="BA126" s="152" t="str">
        <f t="shared" si="235"/>
        <v>NA</v>
      </c>
      <c r="BB126" s="152" t="str">
        <f t="shared" si="236"/>
        <v>NA</v>
      </c>
      <c r="BC126" s="152" t="str">
        <f t="shared" si="237"/>
        <v>NA</v>
      </c>
      <c r="BD126" s="152" t="str">
        <f t="shared" si="238"/>
        <v>NA</v>
      </c>
      <c r="BE126" s="152" t="str">
        <f t="shared" si="239"/>
        <v>NA</v>
      </c>
      <c r="BF126" s="154" t="str">
        <f t="shared" si="240"/>
        <v>NA</v>
      </c>
      <c r="BG126" s="154" t="str">
        <f t="shared" si="241"/>
        <v>NA</v>
      </c>
      <c r="BH126" s="154" t="str">
        <f t="shared" si="242"/>
        <v>NA</v>
      </c>
      <c r="BI126" s="154" t="str">
        <f t="shared" si="243"/>
        <v>NA</v>
      </c>
      <c r="BJ126" s="154" t="str">
        <f t="shared" si="244"/>
        <v>NA</v>
      </c>
      <c r="BK126" s="154" t="str">
        <f t="shared" si="245"/>
        <v>NA</v>
      </c>
    </row>
    <row r="127" spans="2:63" x14ac:dyDescent="0.35">
      <c r="B127" s="123">
        <v>106</v>
      </c>
      <c r="C127" s="103" t="s">
        <v>250</v>
      </c>
      <c r="D127" s="141">
        <f t="shared" si="192"/>
        <v>0</v>
      </c>
      <c r="E127" s="152" t="str">
        <f t="shared" si="193"/>
        <v>NA</v>
      </c>
      <c r="F127" s="152" t="str">
        <f t="shared" si="194"/>
        <v>NA</v>
      </c>
      <c r="G127" s="152" t="str">
        <f t="shared" si="195"/>
        <v>NA</v>
      </c>
      <c r="H127" s="152" t="str">
        <f t="shared" si="196"/>
        <v>NA</v>
      </c>
      <c r="I127" s="152" t="str">
        <f t="shared" si="197"/>
        <v>NA</v>
      </c>
      <c r="J127" s="141">
        <f t="shared" si="198"/>
        <v>0</v>
      </c>
      <c r="K127" s="152" t="str">
        <f t="shared" si="199"/>
        <v>NA</v>
      </c>
      <c r="L127" s="152" t="str">
        <f t="shared" si="200"/>
        <v>NA</v>
      </c>
      <c r="M127" s="152" t="str">
        <f t="shared" si="201"/>
        <v>NA</v>
      </c>
      <c r="N127" s="152" t="str">
        <f t="shared" si="202"/>
        <v>NA</v>
      </c>
      <c r="O127" s="152" t="str">
        <f t="shared" si="203"/>
        <v>NA</v>
      </c>
      <c r="P127" s="154" t="str">
        <f t="shared" si="204"/>
        <v>NA</v>
      </c>
      <c r="Q127" s="154" t="str">
        <f t="shared" si="205"/>
        <v>NA</v>
      </c>
      <c r="R127" s="154" t="str">
        <f t="shared" si="206"/>
        <v>NA</v>
      </c>
      <c r="S127" s="154" t="str">
        <f t="shared" si="207"/>
        <v>NA</v>
      </c>
      <c r="T127" s="154" t="str">
        <f t="shared" si="208"/>
        <v>NA</v>
      </c>
      <c r="U127" s="154" t="str">
        <f t="shared" si="209"/>
        <v>NA</v>
      </c>
      <c r="W127" s="123">
        <v>106</v>
      </c>
      <c r="X127" s="103" t="s">
        <v>250</v>
      </c>
      <c r="Y127" s="141">
        <f t="shared" si="210"/>
        <v>0</v>
      </c>
      <c r="Z127" s="152" t="str">
        <f t="shared" si="211"/>
        <v>NA</v>
      </c>
      <c r="AA127" s="152" t="str">
        <f t="shared" si="212"/>
        <v>NA</v>
      </c>
      <c r="AB127" s="152" t="str">
        <f t="shared" si="213"/>
        <v>NA</v>
      </c>
      <c r="AC127" s="152" t="str">
        <f t="shared" si="214"/>
        <v>NA</v>
      </c>
      <c r="AD127" s="152" t="str">
        <f t="shared" si="215"/>
        <v>NA</v>
      </c>
      <c r="AE127" s="141">
        <f t="shared" si="216"/>
        <v>0</v>
      </c>
      <c r="AF127" s="152" t="str">
        <f t="shared" si="217"/>
        <v>NA</v>
      </c>
      <c r="AG127" s="152" t="str">
        <f t="shared" si="218"/>
        <v>NA</v>
      </c>
      <c r="AH127" s="152" t="str">
        <f t="shared" si="219"/>
        <v>NA</v>
      </c>
      <c r="AI127" s="152" t="str">
        <f t="shared" si="220"/>
        <v>NA</v>
      </c>
      <c r="AJ127" s="152" t="str">
        <f t="shared" si="221"/>
        <v>NA</v>
      </c>
      <c r="AK127" s="154" t="str">
        <f t="shared" si="222"/>
        <v>NA</v>
      </c>
      <c r="AL127" s="154" t="str">
        <f t="shared" si="223"/>
        <v>NA</v>
      </c>
      <c r="AM127" s="154" t="str">
        <f t="shared" si="224"/>
        <v>NA</v>
      </c>
      <c r="AN127" s="154" t="str">
        <f t="shared" si="225"/>
        <v>NA</v>
      </c>
      <c r="AO127" s="154" t="str">
        <f t="shared" si="226"/>
        <v>NA</v>
      </c>
      <c r="AP127" s="154" t="str">
        <f t="shared" si="227"/>
        <v>NA</v>
      </c>
      <c r="AR127" s="123">
        <v>106</v>
      </c>
      <c r="AS127" s="103" t="s">
        <v>250</v>
      </c>
      <c r="AT127" s="141">
        <f t="shared" si="228"/>
        <v>0</v>
      </c>
      <c r="AU127" s="152" t="str">
        <f t="shared" si="229"/>
        <v>NA</v>
      </c>
      <c r="AV127" s="152" t="str">
        <f t="shared" si="230"/>
        <v>NA</v>
      </c>
      <c r="AW127" s="152" t="str">
        <f t="shared" si="231"/>
        <v>NA</v>
      </c>
      <c r="AX127" s="152" t="str">
        <f t="shared" si="232"/>
        <v>NA</v>
      </c>
      <c r="AY127" s="152" t="str">
        <f t="shared" si="233"/>
        <v>NA</v>
      </c>
      <c r="AZ127" s="141">
        <f t="shared" si="234"/>
        <v>0</v>
      </c>
      <c r="BA127" s="152" t="str">
        <f t="shared" si="235"/>
        <v>NA</v>
      </c>
      <c r="BB127" s="152" t="str">
        <f t="shared" si="236"/>
        <v>NA</v>
      </c>
      <c r="BC127" s="152" t="str">
        <f t="shared" si="237"/>
        <v>NA</v>
      </c>
      <c r="BD127" s="152" t="str">
        <f t="shared" si="238"/>
        <v>NA</v>
      </c>
      <c r="BE127" s="152" t="str">
        <f t="shared" si="239"/>
        <v>NA</v>
      </c>
      <c r="BF127" s="154" t="str">
        <f t="shared" si="240"/>
        <v>NA</v>
      </c>
      <c r="BG127" s="154" t="str">
        <f t="shared" si="241"/>
        <v>NA</v>
      </c>
      <c r="BH127" s="154" t="str">
        <f t="shared" si="242"/>
        <v>NA</v>
      </c>
      <c r="BI127" s="154" t="str">
        <f t="shared" si="243"/>
        <v>NA</v>
      </c>
      <c r="BJ127" s="154" t="str">
        <f t="shared" si="244"/>
        <v>NA</v>
      </c>
      <c r="BK127" s="154" t="str">
        <f t="shared" si="245"/>
        <v>NA</v>
      </c>
    </row>
    <row r="128" spans="2:63" x14ac:dyDescent="0.35">
      <c r="B128" s="123">
        <v>107</v>
      </c>
      <c r="C128" s="103" t="s">
        <v>251</v>
      </c>
      <c r="D128" s="141">
        <f t="shared" si="192"/>
        <v>0</v>
      </c>
      <c r="E128" s="152" t="str">
        <f t="shared" si="193"/>
        <v>NA</v>
      </c>
      <c r="F128" s="152" t="str">
        <f t="shared" si="194"/>
        <v>NA</v>
      </c>
      <c r="G128" s="152" t="str">
        <f t="shared" si="195"/>
        <v>NA</v>
      </c>
      <c r="H128" s="152" t="str">
        <f t="shared" si="196"/>
        <v>NA</v>
      </c>
      <c r="I128" s="152" t="str">
        <f t="shared" si="197"/>
        <v>NA</v>
      </c>
      <c r="J128" s="141">
        <f t="shared" si="198"/>
        <v>0</v>
      </c>
      <c r="K128" s="152" t="str">
        <f t="shared" si="199"/>
        <v>NA</v>
      </c>
      <c r="L128" s="152" t="str">
        <f t="shared" si="200"/>
        <v>NA</v>
      </c>
      <c r="M128" s="152" t="str">
        <f t="shared" si="201"/>
        <v>NA</v>
      </c>
      <c r="N128" s="152" t="str">
        <f t="shared" si="202"/>
        <v>NA</v>
      </c>
      <c r="O128" s="152" t="str">
        <f t="shared" si="203"/>
        <v>NA</v>
      </c>
      <c r="P128" s="154" t="str">
        <f t="shared" si="204"/>
        <v>NA</v>
      </c>
      <c r="Q128" s="154" t="str">
        <f t="shared" si="205"/>
        <v>NA</v>
      </c>
      <c r="R128" s="154" t="str">
        <f t="shared" si="206"/>
        <v>NA</v>
      </c>
      <c r="S128" s="154" t="str">
        <f t="shared" si="207"/>
        <v>NA</v>
      </c>
      <c r="T128" s="154" t="str">
        <f t="shared" si="208"/>
        <v>NA</v>
      </c>
      <c r="U128" s="154" t="str">
        <f t="shared" si="209"/>
        <v>NA</v>
      </c>
      <c r="W128" s="123">
        <v>107</v>
      </c>
      <c r="X128" s="103" t="s">
        <v>251</v>
      </c>
      <c r="Y128" s="141">
        <f t="shared" si="210"/>
        <v>0</v>
      </c>
      <c r="Z128" s="152" t="str">
        <f t="shared" si="211"/>
        <v>NA</v>
      </c>
      <c r="AA128" s="152" t="str">
        <f t="shared" si="212"/>
        <v>NA</v>
      </c>
      <c r="AB128" s="152" t="str">
        <f t="shared" si="213"/>
        <v>NA</v>
      </c>
      <c r="AC128" s="152" t="str">
        <f t="shared" si="214"/>
        <v>NA</v>
      </c>
      <c r="AD128" s="152" t="str">
        <f t="shared" si="215"/>
        <v>NA</v>
      </c>
      <c r="AE128" s="141">
        <f t="shared" si="216"/>
        <v>0</v>
      </c>
      <c r="AF128" s="152" t="str">
        <f t="shared" si="217"/>
        <v>NA</v>
      </c>
      <c r="AG128" s="152" t="str">
        <f t="shared" si="218"/>
        <v>NA</v>
      </c>
      <c r="AH128" s="152" t="str">
        <f t="shared" si="219"/>
        <v>NA</v>
      </c>
      <c r="AI128" s="152" t="str">
        <f t="shared" si="220"/>
        <v>NA</v>
      </c>
      <c r="AJ128" s="152" t="str">
        <f t="shared" si="221"/>
        <v>NA</v>
      </c>
      <c r="AK128" s="154" t="str">
        <f t="shared" si="222"/>
        <v>NA</v>
      </c>
      <c r="AL128" s="154" t="str">
        <f t="shared" si="223"/>
        <v>NA</v>
      </c>
      <c r="AM128" s="154" t="str">
        <f t="shared" si="224"/>
        <v>NA</v>
      </c>
      <c r="AN128" s="154" t="str">
        <f t="shared" si="225"/>
        <v>NA</v>
      </c>
      <c r="AO128" s="154" t="str">
        <f t="shared" si="226"/>
        <v>NA</v>
      </c>
      <c r="AP128" s="154" t="str">
        <f t="shared" si="227"/>
        <v>NA</v>
      </c>
      <c r="AR128" s="123">
        <v>107</v>
      </c>
      <c r="AS128" s="103" t="s">
        <v>251</v>
      </c>
      <c r="AT128" s="141">
        <f t="shared" si="228"/>
        <v>0</v>
      </c>
      <c r="AU128" s="152" t="str">
        <f t="shared" si="229"/>
        <v>NA</v>
      </c>
      <c r="AV128" s="152" t="str">
        <f t="shared" si="230"/>
        <v>NA</v>
      </c>
      <c r="AW128" s="152" t="str">
        <f t="shared" si="231"/>
        <v>NA</v>
      </c>
      <c r="AX128" s="152" t="str">
        <f t="shared" si="232"/>
        <v>NA</v>
      </c>
      <c r="AY128" s="152" t="str">
        <f t="shared" si="233"/>
        <v>NA</v>
      </c>
      <c r="AZ128" s="141">
        <f t="shared" si="234"/>
        <v>0</v>
      </c>
      <c r="BA128" s="152" t="str">
        <f t="shared" si="235"/>
        <v>NA</v>
      </c>
      <c r="BB128" s="152" t="str">
        <f t="shared" si="236"/>
        <v>NA</v>
      </c>
      <c r="BC128" s="152" t="str">
        <f t="shared" si="237"/>
        <v>NA</v>
      </c>
      <c r="BD128" s="152" t="str">
        <f t="shared" si="238"/>
        <v>NA</v>
      </c>
      <c r="BE128" s="152" t="str">
        <f t="shared" si="239"/>
        <v>NA</v>
      </c>
      <c r="BF128" s="154" t="str">
        <f t="shared" si="240"/>
        <v>NA</v>
      </c>
      <c r="BG128" s="154" t="str">
        <f t="shared" si="241"/>
        <v>NA</v>
      </c>
      <c r="BH128" s="154" t="str">
        <f t="shared" si="242"/>
        <v>NA</v>
      </c>
      <c r="BI128" s="154" t="str">
        <f t="shared" si="243"/>
        <v>NA</v>
      </c>
      <c r="BJ128" s="154" t="str">
        <f t="shared" si="244"/>
        <v>NA</v>
      </c>
      <c r="BK128" s="154" t="str">
        <f t="shared" si="245"/>
        <v>NA</v>
      </c>
    </row>
    <row r="129" spans="2:63" x14ac:dyDescent="0.35">
      <c r="B129" s="123">
        <v>108</v>
      </c>
      <c r="C129" s="103" t="s">
        <v>252</v>
      </c>
      <c r="D129" s="141">
        <f t="shared" si="192"/>
        <v>0</v>
      </c>
      <c r="E129" s="152" t="str">
        <f t="shared" si="193"/>
        <v>NA</v>
      </c>
      <c r="F129" s="152" t="str">
        <f t="shared" si="194"/>
        <v>NA</v>
      </c>
      <c r="G129" s="152" t="str">
        <f t="shared" si="195"/>
        <v>NA</v>
      </c>
      <c r="H129" s="152" t="str">
        <f t="shared" si="196"/>
        <v>NA</v>
      </c>
      <c r="I129" s="152" t="str">
        <f t="shared" si="197"/>
        <v>NA</v>
      </c>
      <c r="J129" s="141">
        <f t="shared" si="198"/>
        <v>0</v>
      </c>
      <c r="K129" s="152" t="str">
        <f t="shared" si="199"/>
        <v>NA</v>
      </c>
      <c r="L129" s="152" t="str">
        <f t="shared" si="200"/>
        <v>NA</v>
      </c>
      <c r="M129" s="152" t="str">
        <f t="shared" si="201"/>
        <v>NA</v>
      </c>
      <c r="N129" s="152" t="str">
        <f t="shared" si="202"/>
        <v>NA</v>
      </c>
      <c r="O129" s="152" t="str">
        <f t="shared" si="203"/>
        <v>NA</v>
      </c>
      <c r="P129" s="154" t="str">
        <f t="shared" si="204"/>
        <v>NA</v>
      </c>
      <c r="Q129" s="154" t="str">
        <f t="shared" si="205"/>
        <v>NA</v>
      </c>
      <c r="R129" s="154" t="str">
        <f t="shared" si="206"/>
        <v>NA</v>
      </c>
      <c r="S129" s="154" t="str">
        <f t="shared" si="207"/>
        <v>NA</v>
      </c>
      <c r="T129" s="154" t="str">
        <f t="shared" si="208"/>
        <v>NA</v>
      </c>
      <c r="U129" s="154" t="str">
        <f t="shared" si="209"/>
        <v>NA</v>
      </c>
      <c r="W129" s="123">
        <v>108</v>
      </c>
      <c r="X129" s="103" t="s">
        <v>252</v>
      </c>
      <c r="Y129" s="141">
        <f t="shared" si="210"/>
        <v>0</v>
      </c>
      <c r="Z129" s="152" t="str">
        <f t="shared" si="211"/>
        <v>NA</v>
      </c>
      <c r="AA129" s="152" t="str">
        <f t="shared" si="212"/>
        <v>NA</v>
      </c>
      <c r="AB129" s="152" t="str">
        <f t="shared" si="213"/>
        <v>NA</v>
      </c>
      <c r="AC129" s="152" t="str">
        <f t="shared" si="214"/>
        <v>NA</v>
      </c>
      <c r="AD129" s="152" t="str">
        <f t="shared" si="215"/>
        <v>NA</v>
      </c>
      <c r="AE129" s="141">
        <f t="shared" si="216"/>
        <v>0</v>
      </c>
      <c r="AF129" s="152" t="str">
        <f t="shared" si="217"/>
        <v>NA</v>
      </c>
      <c r="AG129" s="152" t="str">
        <f t="shared" si="218"/>
        <v>NA</v>
      </c>
      <c r="AH129" s="152" t="str">
        <f t="shared" si="219"/>
        <v>NA</v>
      </c>
      <c r="AI129" s="152" t="str">
        <f t="shared" si="220"/>
        <v>NA</v>
      </c>
      <c r="AJ129" s="152" t="str">
        <f t="shared" si="221"/>
        <v>NA</v>
      </c>
      <c r="AK129" s="154" t="str">
        <f t="shared" si="222"/>
        <v>NA</v>
      </c>
      <c r="AL129" s="154" t="str">
        <f t="shared" si="223"/>
        <v>NA</v>
      </c>
      <c r="AM129" s="154" t="str">
        <f t="shared" si="224"/>
        <v>NA</v>
      </c>
      <c r="AN129" s="154" t="str">
        <f t="shared" si="225"/>
        <v>NA</v>
      </c>
      <c r="AO129" s="154" t="str">
        <f t="shared" si="226"/>
        <v>NA</v>
      </c>
      <c r="AP129" s="154" t="str">
        <f t="shared" si="227"/>
        <v>NA</v>
      </c>
      <c r="AR129" s="123">
        <v>108</v>
      </c>
      <c r="AS129" s="103" t="s">
        <v>252</v>
      </c>
      <c r="AT129" s="141">
        <f t="shared" si="228"/>
        <v>0</v>
      </c>
      <c r="AU129" s="152" t="str">
        <f t="shared" si="229"/>
        <v>NA</v>
      </c>
      <c r="AV129" s="152" t="str">
        <f t="shared" si="230"/>
        <v>NA</v>
      </c>
      <c r="AW129" s="152" t="str">
        <f t="shared" si="231"/>
        <v>NA</v>
      </c>
      <c r="AX129" s="152" t="str">
        <f t="shared" si="232"/>
        <v>NA</v>
      </c>
      <c r="AY129" s="152" t="str">
        <f t="shared" si="233"/>
        <v>NA</v>
      </c>
      <c r="AZ129" s="141">
        <f t="shared" si="234"/>
        <v>0</v>
      </c>
      <c r="BA129" s="152" t="str">
        <f t="shared" si="235"/>
        <v>NA</v>
      </c>
      <c r="BB129" s="152" t="str">
        <f t="shared" si="236"/>
        <v>NA</v>
      </c>
      <c r="BC129" s="152" t="str">
        <f t="shared" si="237"/>
        <v>NA</v>
      </c>
      <c r="BD129" s="152" t="str">
        <f t="shared" si="238"/>
        <v>NA</v>
      </c>
      <c r="BE129" s="152" t="str">
        <f t="shared" si="239"/>
        <v>NA</v>
      </c>
      <c r="BF129" s="154" t="str">
        <f t="shared" si="240"/>
        <v>NA</v>
      </c>
      <c r="BG129" s="154" t="str">
        <f t="shared" si="241"/>
        <v>NA</v>
      </c>
      <c r="BH129" s="154" t="str">
        <f t="shared" si="242"/>
        <v>NA</v>
      </c>
      <c r="BI129" s="154" t="str">
        <f t="shared" si="243"/>
        <v>NA</v>
      </c>
      <c r="BJ129" s="154" t="str">
        <f t="shared" si="244"/>
        <v>NA</v>
      </c>
      <c r="BK129" s="154" t="str">
        <f t="shared" si="245"/>
        <v>NA</v>
      </c>
    </row>
    <row r="130" spans="2:63" x14ac:dyDescent="0.35">
      <c r="B130" s="123">
        <v>109</v>
      </c>
      <c r="C130" s="103" t="s">
        <v>253</v>
      </c>
      <c r="D130" s="141">
        <f t="shared" si="192"/>
        <v>0</v>
      </c>
      <c r="E130" s="152" t="str">
        <f t="shared" si="193"/>
        <v>NA</v>
      </c>
      <c r="F130" s="152" t="str">
        <f t="shared" si="194"/>
        <v>NA</v>
      </c>
      <c r="G130" s="152" t="str">
        <f t="shared" si="195"/>
        <v>NA</v>
      </c>
      <c r="H130" s="152" t="str">
        <f t="shared" si="196"/>
        <v>NA</v>
      </c>
      <c r="I130" s="152" t="str">
        <f t="shared" si="197"/>
        <v>NA</v>
      </c>
      <c r="J130" s="141">
        <f t="shared" si="198"/>
        <v>0</v>
      </c>
      <c r="K130" s="152" t="str">
        <f t="shared" si="199"/>
        <v>NA</v>
      </c>
      <c r="L130" s="152" t="str">
        <f t="shared" si="200"/>
        <v>NA</v>
      </c>
      <c r="M130" s="152" t="str">
        <f t="shared" si="201"/>
        <v>NA</v>
      </c>
      <c r="N130" s="152" t="str">
        <f t="shared" si="202"/>
        <v>NA</v>
      </c>
      <c r="O130" s="152" t="str">
        <f t="shared" si="203"/>
        <v>NA</v>
      </c>
      <c r="P130" s="154" t="str">
        <f t="shared" si="204"/>
        <v>NA</v>
      </c>
      <c r="Q130" s="154" t="str">
        <f t="shared" si="205"/>
        <v>NA</v>
      </c>
      <c r="R130" s="154" t="str">
        <f t="shared" si="206"/>
        <v>NA</v>
      </c>
      <c r="S130" s="154" t="str">
        <f t="shared" si="207"/>
        <v>NA</v>
      </c>
      <c r="T130" s="154" t="str">
        <f t="shared" si="208"/>
        <v>NA</v>
      </c>
      <c r="U130" s="154" t="str">
        <f t="shared" si="209"/>
        <v>NA</v>
      </c>
      <c r="W130" s="123">
        <v>109</v>
      </c>
      <c r="X130" s="103" t="s">
        <v>253</v>
      </c>
      <c r="Y130" s="141">
        <f t="shared" si="210"/>
        <v>0</v>
      </c>
      <c r="Z130" s="152" t="str">
        <f t="shared" si="211"/>
        <v>NA</v>
      </c>
      <c r="AA130" s="152" t="str">
        <f t="shared" si="212"/>
        <v>NA</v>
      </c>
      <c r="AB130" s="152" t="str">
        <f t="shared" si="213"/>
        <v>NA</v>
      </c>
      <c r="AC130" s="152" t="str">
        <f t="shared" si="214"/>
        <v>NA</v>
      </c>
      <c r="AD130" s="152" t="str">
        <f t="shared" si="215"/>
        <v>NA</v>
      </c>
      <c r="AE130" s="141">
        <f t="shared" si="216"/>
        <v>0</v>
      </c>
      <c r="AF130" s="152" t="str">
        <f t="shared" si="217"/>
        <v>NA</v>
      </c>
      <c r="AG130" s="152" t="str">
        <f t="shared" si="218"/>
        <v>NA</v>
      </c>
      <c r="AH130" s="152" t="str">
        <f t="shared" si="219"/>
        <v>NA</v>
      </c>
      <c r="AI130" s="152" t="str">
        <f t="shared" si="220"/>
        <v>NA</v>
      </c>
      <c r="AJ130" s="152" t="str">
        <f t="shared" si="221"/>
        <v>NA</v>
      </c>
      <c r="AK130" s="154" t="str">
        <f t="shared" si="222"/>
        <v>NA</v>
      </c>
      <c r="AL130" s="154" t="str">
        <f t="shared" si="223"/>
        <v>NA</v>
      </c>
      <c r="AM130" s="154" t="str">
        <f t="shared" si="224"/>
        <v>NA</v>
      </c>
      <c r="AN130" s="154" t="str">
        <f t="shared" si="225"/>
        <v>NA</v>
      </c>
      <c r="AO130" s="154" t="str">
        <f t="shared" si="226"/>
        <v>NA</v>
      </c>
      <c r="AP130" s="154" t="str">
        <f t="shared" si="227"/>
        <v>NA</v>
      </c>
      <c r="AR130" s="123">
        <v>109</v>
      </c>
      <c r="AS130" s="103" t="s">
        <v>253</v>
      </c>
      <c r="AT130" s="141">
        <f t="shared" si="228"/>
        <v>0</v>
      </c>
      <c r="AU130" s="152" t="str">
        <f t="shared" si="229"/>
        <v>NA</v>
      </c>
      <c r="AV130" s="152" t="str">
        <f t="shared" si="230"/>
        <v>NA</v>
      </c>
      <c r="AW130" s="152" t="str">
        <f t="shared" si="231"/>
        <v>NA</v>
      </c>
      <c r="AX130" s="152" t="str">
        <f t="shared" si="232"/>
        <v>NA</v>
      </c>
      <c r="AY130" s="152" t="str">
        <f t="shared" si="233"/>
        <v>NA</v>
      </c>
      <c r="AZ130" s="141">
        <f t="shared" si="234"/>
        <v>0</v>
      </c>
      <c r="BA130" s="152" t="str">
        <f t="shared" si="235"/>
        <v>NA</v>
      </c>
      <c r="BB130" s="152" t="str">
        <f t="shared" si="236"/>
        <v>NA</v>
      </c>
      <c r="BC130" s="152" t="str">
        <f t="shared" si="237"/>
        <v>NA</v>
      </c>
      <c r="BD130" s="152" t="str">
        <f t="shared" si="238"/>
        <v>NA</v>
      </c>
      <c r="BE130" s="152" t="str">
        <f t="shared" si="239"/>
        <v>NA</v>
      </c>
      <c r="BF130" s="154" t="str">
        <f t="shared" si="240"/>
        <v>NA</v>
      </c>
      <c r="BG130" s="154" t="str">
        <f t="shared" si="241"/>
        <v>NA</v>
      </c>
      <c r="BH130" s="154" t="str">
        <f t="shared" si="242"/>
        <v>NA</v>
      </c>
      <c r="BI130" s="154" t="str">
        <f t="shared" si="243"/>
        <v>NA</v>
      </c>
      <c r="BJ130" s="154" t="str">
        <f t="shared" si="244"/>
        <v>NA</v>
      </c>
      <c r="BK130" s="154" t="str">
        <f t="shared" si="245"/>
        <v>NA</v>
      </c>
    </row>
    <row r="131" spans="2:63" x14ac:dyDescent="0.35">
      <c r="B131" s="123">
        <v>110</v>
      </c>
      <c r="C131" s="103" t="s">
        <v>294</v>
      </c>
      <c r="D131" s="141">
        <f t="shared" si="192"/>
        <v>0</v>
      </c>
      <c r="E131" s="152" t="str">
        <f t="shared" si="193"/>
        <v>NA</v>
      </c>
      <c r="F131" s="152" t="str">
        <f t="shared" si="194"/>
        <v>NA</v>
      </c>
      <c r="G131" s="152" t="str">
        <f t="shared" si="195"/>
        <v>NA</v>
      </c>
      <c r="H131" s="152" t="str">
        <f t="shared" si="196"/>
        <v>NA</v>
      </c>
      <c r="I131" s="152" t="str">
        <f t="shared" si="197"/>
        <v>NA</v>
      </c>
      <c r="J131" s="141">
        <f t="shared" si="198"/>
        <v>0</v>
      </c>
      <c r="K131" s="152" t="str">
        <f t="shared" si="199"/>
        <v>NA</v>
      </c>
      <c r="L131" s="152" t="str">
        <f t="shared" si="200"/>
        <v>NA</v>
      </c>
      <c r="M131" s="152" t="str">
        <f t="shared" si="201"/>
        <v>NA</v>
      </c>
      <c r="N131" s="152" t="str">
        <f t="shared" si="202"/>
        <v>NA</v>
      </c>
      <c r="O131" s="152" t="str">
        <f t="shared" si="203"/>
        <v>NA</v>
      </c>
      <c r="P131" s="154" t="str">
        <f t="shared" si="204"/>
        <v>NA</v>
      </c>
      <c r="Q131" s="154" t="str">
        <f t="shared" si="205"/>
        <v>NA</v>
      </c>
      <c r="R131" s="154" t="str">
        <f t="shared" si="206"/>
        <v>NA</v>
      </c>
      <c r="S131" s="154" t="str">
        <f t="shared" si="207"/>
        <v>NA</v>
      </c>
      <c r="T131" s="154" t="str">
        <f t="shared" si="208"/>
        <v>NA</v>
      </c>
      <c r="U131" s="154" t="str">
        <f t="shared" si="209"/>
        <v>NA</v>
      </c>
      <c r="W131" s="123">
        <v>110</v>
      </c>
      <c r="X131" s="103" t="s">
        <v>294</v>
      </c>
      <c r="Y131" s="141">
        <f t="shared" si="210"/>
        <v>0</v>
      </c>
      <c r="Z131" s="152" t="str">
        <f t="shared" si="211"/>
        <v>NA</v>
      </c>
      <c r="AA131" s="152" t="str">
        <f t="shared" si="212"/>
        <v>NA</v>
      </c>
      <c r="AB131" s="152" t="str">
        <f t="shared" si="213"/>
        <v>NA</v>
      </c>
      <c r="AC131" s="152" t="str">
        <f t="shared" si="214"/>
        <v>NA</v>
      </c>
      <c r="AD131" s="152" t="str">
        <f t="shared" si="215"/>
        <v>NA</v>
      </c>
      <c r="AE131" s="141">
        <f t="shared" si="216"/>
        <v>0</v>
      </c>
      <c r="AF131" s="152" t="str">
        <f t="shared" si="217"/>
        <v>NA</v>
      </c>
      <c r="AG131" s="152" t="str">
        <f t="shared" si="218"/>
        <v>NA</v>
      </c>
      <c r="AH131" s="152" t="str">
        <f t="shared" si="219"/>
        <v>NA</v>
      </c>
      <c r="AI131" s="152" t="str">
        <f t="shared" si="220"/>
        <v>NA</v>
      </c>
      <c r="AJ131" s="152" t="str">
        <f t="shared" si="221"/>
        <v>NA</v>
      </c>
      <c r="AK131" s="154" t="str">
        <f t="shared" si="222"/>
        <v>NA</v>
      </c>
      <c r="AL131" s="154" t="str">
        <f t="shared" si="223"/>
        <v>NA</v>
      </c>
      <c r="AM131" s="154" t="str">
        <f t="shared" si="224"/>
        <v>NA</v>
      </c>
      <c r="AN131" s="154" t="str">
        <f t="shared" si="225"/>
        <v>NA</v>
      </c>
      <c r="AO131" s="154" t="str">
        <f t="shared" si="226"/>
        <v>NA</v>
      </c>
      <c r="AP131" s="154" t="str">
        <f t="shared" si="227"/>
        <v>NA</v>
      </c>
      <c r="AR131" s="123">
        <v>110</v>
      </c>
      <c r="AS131" s="103" t="s">
        <v>294</v>
      </c>
      <c r="AT131" s="141">
        <f t="shared" si="228"/>
        <v>0</v>
      </c>
      <c r="AU131" s="152" t="str">
        <f t="shared" si="229"/>
        <v>NA</v>
      </c>
      <c r="AV131" s="152" t="str">
        <f t="shared" si="230"/>
        <v>NA</v>
      </c>
      <c r="AW131" s="152" t="str">
        <f t="shared" si="231"/>
        <v>NA</v>
      </c>
      <c r="AX131" s="152" t="str">
        <f t="shared" si="232"/>
        <v>NA</v>
      </c>
      <c r="AY131" s="152" t="str">
        <f t="shared" si="233"/>
        <v>NA</v>
      </c>
      <c r="AZ131" s="141">
        <f t="shared" si="234"/>
        <v>0</v>
      </c>
      <c r="BA131" s="152" t="str">
        <f t="shared" si="235"/>
        <v>NA</v>
      </c>
      <c r="BB131" s="152" t="str">
        <f t="shared" si="236"/>
        <v>NA</v>
      </c>
      <c r="BC131" s="152" t="str">
        <f t="shared" si="237"/>
        <v>NA</v>
      </c>
      <c r="BD131" s="152" t="str">
        <f t="shared" si="238"/>
        <v>NA</v>
      </c>
      <c r="BE131" s="152" t="str">
        <f t="shared" si="239"/>
        <v>NA</v>
      </c>
      <c r="BF131" s="154" t="str">
        <f t="shared" si="240"/>
        <v>NA</v>
      </c>
      <c r="BG131" s="154" t="str">
        <f t="shared" si="241"/>
        <v>NA</v>
      </c>
      <c r="BH131" s="154" t="str">
        <f t="shared" si="242"/>
        <v>NA</v>
      </c>
      <c r="BI131" s="154" t="str">
        <f t="shared" si="243"/>
        <v>NA</v>
      </c>
      <c r="BJ131" s="154" t="str">
        <f t="shared" si="244"/>
        <v>NA</v>
      </c>
      <c r="BK131" s="154" t="str">
        <f t="shared" si="245"/>
        <v>NA</v>
      </c>
    </row>
    <row r="132" spans="2:63" x14ac:dyDescent="0.35">
      <c r="B132" s="123">
        <v>111</v>
      </c>
      <c r="C132" s="103" t="s">
        <v>254</v>
      </c>
      <c r="D132" s="141">
        <f t="shared" si="192"/>
        <v>0</v>
      </c>
      <c r="E132" s="152" t="str">
        <f t="shared" si="193"/>
        <v>NA</v>
      </c>
      <c r="F132" s="152" t="str">
        <f t="shared" si="194"/>
        <v>NA</v>
      </c>
      <c r="G132" s="152" t="str">
        <f t="shared" si="195"/>
        <v>NA</v>
      </c>
      <c r="H132" s="152" t="str">
        <f t="shared" si="196"/>
        <v>NA</v>
      </c>
      <c r="I132" s="152" t="str">
        <f t="shared" si="197"/>
        <v>NA</v>
      </c>
      <c r="J132" s="141">
        <f t="shared" si="198"/>
        <v>0</v>
      </c>
      <c r="K132" s="152" t="str">
        <f t="shared" si="199"/>
        <v>NA</v>
      </c>
      <c r="L132" s="152" t="str">
        <f t="shared" si="200"/>
        <v>NA</v>
      </c>
      <c r="M132" s="152" t="str">
        <f t="shared" si="201"/>
        <v>NA</v>
      </c>
      <c r="N132" s="152" t="str">
        <f t="shared" si="202"/>
        <v>NA</v>
      </c>
      <c r="O132" s="152" t="str">
        <f t="shared" si="203"/>
        <v>NA</v>
      </c>
      <c r="P132" s="154" t="str">
        <f t="shared" si="204"/>
        <v>NA</v>
      </c>
      <c r="Q132" s="154" t="str">
        <f t="shared" si="205"/>
        <v>NA</v>
      </c>
      <c r="R132" s="154" t="str">
        <f t="shared" si="206"/>
        <v>NA</v>
      </c>
      <c r="S132" s="154" t="str">
        <f t="shared" si="207"/>
        <v>NA</v>
      </c>
      <c r="T132" s="154" t="str">
        <f t="shared" si="208"/>
        <v>NA</v>
      </c>
      <c r="U132" s="154" t="str">
        <f t="shared" si="209"/>
        <v>NA</v>
      </c>
      <c r="W132" s="123">
        <v>111</v>
      </c>
      <c r="X132" s="103" t="s">
        <v>254</v>
      </c>
      <c r="Y132" s="141">
        <f t="shared" si="210"/>
        <v>0</v>
      </c>
      <c r="Z132" s="152" t="str">
        <f t="shared" si="211"/>
        <v>NA</v>
      </c>
      <c r="AA132" s="152" t="str">
        <f t="shared" si="212"/>
        <v>NA</v>
      </c>
      <c r="AB132" s="152" t="str">
        <f t="shared" si="213"/>
        <v>NA</v>
      </c>
      <c r="AC132" s="152" t="str">
        <f t="shared" si="214"/>
        <v>NA</v>
      </c>
      <c r="AD132" s="152" t="str">
        <f t="shared" si="215"/>
        <v>NA</v>
      </c>
      <c r="AE132" s="141">
        <f t="shared" si="216"/>
        <v>0</v>
      </c>
      <c r="AF132" s="152" t="str">
        <f t="shared" si="217"/>
        <v>NA</v>
      </c>
      <c r="AG132" s="152" t="str">
        <f t="shared" si="218"/>
        <v>NA</v>
      </c>
      <c r="AH132" s="152" t="str">
        <f t="shared" si="219"/>
        <v>NA</v>
      </c>
      <c r="AI132" s="152" t="str">
        <f t="shared" si="220"/>
        <v>NA</v>
      </c>
      <c r="AJ132" s="152" t="str">
        <f t="shared" si="221"/>
        <v>NA</v>
      </c>
      <c r="AK132" s="154" t="str">
        <f t="shared" si="222"/>
        <v>NA</v>
      </c>
      <c r="AL132" s="154" t="str">
        <f t="shared" si="223"/>
        <v>NA</v>
      </c>
      <c r="AM132" s="154" t="str">
        <f t="shared" si="224"/>
        <v>NA</v>
      </c>
      <c r="AN132" s="154" t="str">
        <f t="shared" si="225"/>
        <v>NA</v>
      </c>
      <c r="AO132" s="154" t="str">
        <f t="shared" si="226"/>
        <v>NA</v>
      </c>
      <c r="AP132" s="154" t="str">
        <f t="shared" si="227"/>
        <v>NA</v>
      </c>
      <c r="AR132" s="123">
        <v>111</v>
      </c>
      <c r="AS132" s="103" t="s">
        <v>254</v>
      </c>
      <c r="AT132" s="141">
        <f t="shared" si="228"/>
        <v>0</v>
      </c>
      <c r="AU132" s="152" t="str">
        <f t="shared" si="229"/>
        <v>NA</v>
      </c>
      <c r="AV132" s="152" t="str">
        <f t="shared" si="230"/>
        <v>NA</v>
      </c>
      <c r="AW132" s="152" t="str">
        <f t="shared" si="231"/>
        <v>NA</v>
      </c>
      <c r="AX132" s="152" t="str">
        <f t="shared" si="232"/>
        <v>NA</v>
      </c>
      <c r="AY132" s="152" t="str">
        <f t="shared" si="233"/>
        <v>NA</v>
      </c>
      <c r="AZ132" s="141">
        <f t="shared" si="234"/>
        <v>0</v>
      </c>
      <c r="BA132" s="152" t="str">
        <f t="shared" si="235"/>
        <v>NA</v>
      </c>
      <c r="BB132" s="152" t="str">
        <f t="shared" si="236"/>
        <v>NA</v>
      </c>
      <c r="BC132" s="152" t="str">
        <f t="shared" si="237"/>
        <v>NA</v>
      </c>
      <c r="BD132" s="152" t="str">
        <f t="shared" si="238"/>
        <v>NA</v>
      </c>
      <c r="BE132" s="152" t="str">
        <f t="shared" si="239"/>
        <v>NA</v>
      </c>
      <c r="BF132" s="154" t="str">
        <f t="shared" si="240"/>
        <v>NA</v>
      </c>
      <c r="BG132" s="154" t="str">
        <f t="shared" si="241"/>
        <v>NA</v>
      </c>
      <c r="BH132" s="154" t="str">
        <f t="shared" si="242"/>
        <v>NA</v>
      </c>
      <c r="BI132" s="154" t="str">
        <f t="shared" si="243"/>
        <v>NA</v>
      </c>
      <c r="BJ132" s="154" t="str">
        <f t="shared" si="244"/>
        <v>NA</v>
      </c>
      <c r="BK132" s="154" t="str">
        <f t="shared" si="245"/>
        <v>NA</v>
      </c>
    </row>
    <row r="133" spans="2:63" x14ac:dyDescent="0.35">
      <c r="B133" s="123">
        <v>999</v>
      </c>
      <c r="C133" s="103" t="s">
        <v>42</v>
      </c>
      <c r="D133" s="141">
        <f t="shared" si="192"/>
        <v>0</v>
      </c>
      <c r="E133" s="152" t="str">
        <f t="shared" si="193"/>
        <v>NA</v>
      </c>
      <c r="F133" s="152" t="str">
        <f t="shared" si="194"/>
        <v>NA</v>
      </c>
      <c r="G133" s="152" t="str">
        <f t="shared" si="195"/>
        <v>NA</v>
      </c>
      <c r="H133" s="152" t="str">
        <f t="shared" si="196"/>
        <v>NA</v>
      </c>
      <c r="I133" s="152" t="str">
        <f t="shared" si="197"/>
        <v>NA</v>
      </c>
      <c r="J133" s="141">
        <f t="shared" si="198"/>
        <v>0</v>
      </c>
      <c r="K133" s="152" t="str">
        <f t="shared" si="199"/>
        <v>NA</v>
      </c>
      <c r="L133" s="152" t="str">
        <f t="shared" si="200"/>
        <v>NA</v>
      </c>
      <c r="M133" s="152" t="str">
        <f t="shared" si="201"/>
        <v>NA</v>
      </c>
      <c r="N133" s="152" t="str">
        <f t="shared" si="202"/>
        <v>NA</v>
      </c>
      <c r="O133" s="152" t="str">
        <f t="shared" si="203"/>
        <v>NA</v>
      </c>
      <c r="P133" s="154" t="str">
        <f t="shared" si="204"/>
        <v>NA</v>
      </c>
      <c r="Q133" s="154" t="str">
        <f t="shared" si="205"/>
        <v>NA</v>
      </c>
      <c r="R133" s="154" t="str">
        <f t="shared" si="206"/>
        <v>NA</v>
      </c>
      <c r="S133" s="154" t="str">
        <f t="shared" si="207"/>
        <v>NA</v>
      </c>
      <c r="T133" s="154" t="str">
        <f t="shared" si="208"/>
        <v>NA</v>
      </c>
      <c r="U133" s="154" t="str">
        <f t="shared" si="209"/>
        <v>NA</v>
      </c>
      <c r="W133" s="123">
        <v>999</v>
      </c>
      <c r="X133" s="103" t="s">
        <v>42</v>
      </c>
      <c r="Y133" s="141">
        <f t="shared" si="210"/>
        <v>0</v>
      </c>
      <c r="Z133" s="152" t="str">
        <f t="shared" si="211"/>
        <v>NA</v>
      </c>
      <c r="AA133" s="152" t="str">
        <f t="shared" si="212"/>
        <v>NA</v>
      </c>
      <c r="AB133" s="152" t="str">
        <f t="shared" si="213"/>
        <v>NA</v>
      </c>
      <c r="AC133" s="152" t="str">
        <f t="shared" si="214"/>
        <v>NA</v>
      </c>
      <c r="AD133" s="152" t="str">
        <f t="shared" si="215"/>
        <v>NA</v>
      </c>
      <c r="AE133" s="141">
        <f t="shared" si="216"/>
        <v>0</v>
      </c>
      <c r="AF133" s="152" t="str">
        <f t="shared" si="217"/>
        <v>NA</v>
      </c>
      <c r="AG133" s="152" t="str">
        <f t="shared" si="218"/>
        <v>NA</v>
      </c>
      <c r="AH133" s="152" t="str">
        <f t="shared" si="219"/>
        <v>NA</v>
      </c>
      <c r="AI133" s="152" t="str">
        <f t="shared" si="220"/>
        <v>NA</v>
      </c>
      <c r="AJ133" s="152" t="str">
        <f t="shared" si="221"/>
        <v>NA</v>
      </c>
      <c r="AK133" s="154" t="str">
        <f t="shared" si="222"/>
        <v>NA</v>
      </c>
      <c r="AL133" s="154" t="str">
        <f t="shared" si="223"/>
        <v>NA</v>
      </c>
      <c r="AM133" s="154" t="str">
        <f t="shared" si="224"/>
        <v>NA</v>
      </c>
      <c r="AN133" s="154" t="str">
        <f t="shared" si="225"/>
        <v>NA</v>
      </c>
      <c r="AO133" s="154" t="str">
        <f t="shared" si="226"/>
        <v>NA</v>
      </c>
      <c r="AP133" s="154" t="str">
        <f t="shared" si="227"/>
        <v>NA</v>
      </c>
      <c r="AR133" s="123">
        <v>999</v>
      </c>
      <c r="AS133" s="103" t="s">
        <v>42</v>
      </c>
      <c r="AT133" s="141">
        <f t="shared" si="228"/>
        <v>0</v>
      </c>
      <c r="AU133" s="152" t="str">
        <f t="shared" si="229"/>
        <v>NA</v>
      </c>
      <c r="AV133" s="152" t="str">
        <f t="shared" si="230"/>
        <v>NA</v>
      </c>
      <c r="AW133" s="152" t="str">
        <f t="shared" si="231"/>
        <v>NA</v>
      </c>
      <c r="AX133" s="152" t="str">
        <f t="shared" si="232"/>
        <v>NA</v>
      </c>
      <c r="AY133" s="152" t="str">
        <f t="shared" si="233"/>
        <v>NA</v>
      </c>
      <c r="AZ133" s="141">
        <f t="shared" si="234"/>
        <v>0</v>
      </c>
      <c r="BA133" s="152" t="str">
        <f t="shared" si="235"/>
        <v>NA</v>
      </c>
      <c r="BB133" s="152" t="str">
        <f t="shared" si="236"/>
        <v>NA</v>
      </c>
      <c r="BC133" s="152" t="str">
        <f t="shared" si="237"/>
        <v>NA</v>
      </c>
      <c r="BD133" s="152" t="str">
        <f t="shared" si="238"/>
        <v>NA</v>
      </c>
      <c r="BE133" s="152" t="str">
        <f t="shared" si="239"/>
        <v>NA</v>
      </c>
      <c r="BF133" s="154" t="str">
        <f t="shared" si="240"/>
        <v>NA</v>
      </c>
      <c r="BG133" s="154" t="str">
        <f t="shared" si="241"/>
        <v>NA</v>
      </c>
      <c r="BH133" s="154" t="str">
        <f t="shared" si="242"/>
        <v>NA</v>
      </c>
      <c r="BI133" s="154" t="str">
        <f t="shared" si="243"/>
        <v>NA</v>
      </c>
      <c r="BJ133" s="154" t="str">
        <f t="shared" si="244"/>
        <v>NA</v>
      </c>
      <c r="BK133" s="154" t="str">
        <f t="shared" si="245"/>
        <v>NA</v>
      </c>
    </row>
    <row r="134" spans="2:63" x14ac:dyDescent="0.35">
      <c r="B134" s="79"/>
      <c r="C134" s="79" t="s">
        <v>245</v>
      </c>
      <c r="D134" s="151">
        <f>SUM(D122:D133)</f>
        <v>0</v>
      </c>
      <c r="E134" s="153" t="str">
        <f t="shared" si="193"/>
        <v>NA</v>
      </c>
      <c r="F134" s="153" t="str">
        <f t="shared" si="194"/>
        <v>NA</v>
      </c>
      <c r="G134" s="153" t="str">
        <f t="shared" si="195"/>
        <v>NA</v>
      </c>
      <c r="H134" s="153" t="str">
        <f t="shared" si="196"/>
        <v>NA</v>
      </c>
      <c r="I134" s="153" t="str">
        <f>IF(D134=0,"NA",(SUMPRODUCT(I153,D153)+SUMPRODUCT(I172,D172))/D134)</f>
        <v>NA</v>
      </c>
      <c r="J134" s="151">
        <f>SUM(J122:J133)</f>
        <v>0</v>
      </c>
      <c r="K134" s="153" t="str">
        <f t="shared" si="199"/>
        <v>NA</v>
      </c>
      <c r="L134" s="153" t="str">
        <f t="shared" si="200"/>
        <v>NA</v>
      </c>
      <c r="M134" s="153" t="str">
        <f t="shared" si="201"/>
        <v>NA</v>
      </c>
      <c r="N134" s="153" t="str">
        <f t="shared" si="202"/>
        <v>NA</v>
      </c>
      <c r="O134" s="153" t="str">
        <f>IF(J134=0,"NA",(SUMPRODUCT(O153,J153)+SUMPRODUCT(O172,J172))/J134)</f>
        <v>NA</v>
      </c>
      <c r="P134" s="155" t="str">
        <f t="shared" si="204"/>
        <v>NA</v>
      </c>
      <c r="Q134" s="155" t="str">
        <f t="shared" si="205"/>
        <v>NA</v>
      </c>
      <c r="R134" s="155" t="str">
        <f t="shared" si="206"/>
        <v>NA</v>
      </c>
      <c r="S134" s="155" t="str">
        <f t="shared" si="207"/>
        <v>NA</v>
      </c>
      <c r="T134" s="155" t="str">
        <f t="shared" si="208"/>
        <v>NA</v>
      </c>
      <c r="U134" s="155" t="str">
        <f t="shared" si="209"/>
        <v>NA</v>
      </c>
      <c r="W134" s="79"/>
      <c r="X134" s="79" t="s">
        <v>245</v>
      </c>
      <c r="Y134" s="151">
        <f>SUM(Y122:Y133)</f>
        <v>0</v>
      </c>
      <c r="Z134" s="153" t="str">
        <f t="shared" si="211"/>
        <v>NA</v>
      </c>
      <c r="AA134" s="153" t="str">
        <f t="shared" si="212"/>
        <v>NA</v>
      </c>
      <c r="AB134" s="153" t="str">
        <f t="shared" si="213"/>
        <v>NA</v>
      </c>
      <c r="AC134" s="153" t="str">
        <f t="shared" si="214"/>
        <v>NA</v>
      </c>
      <c r="AD134" s="153" t="str">
        <f>IF(Y134=0,"NA",(SUMPRODUCT(AD153,Y153)+SUMPRODUCT(AD172,Y172))/Y134)</f>
        <v>NA</v>
      </c>
      <c r="AE134" s="151">
        <f>SUM(AE122:AE133)</f>
        <v>0</v>
      </c>
      <c r="AF134" s="153" t="str">
        <f t="shared" si="217"/>
        <v>NA</v>
      </c>
      <c r="AG134" s="153" t="str">
        <f t="shared" si="218"/>
        <v>NA</v>
      </c>
      <c r="AH134" s="153" t="str">
        <f t="shared" si="219"/>
        <v>NA</v>
      </c>
      <c r="AI134" s="153" t="str">
        <f t="shared" si="220"/>
        <v>NA</v>
      </c>
      <c r="AJ134" s="153" t="str">
        <f>IF(AE134=0,"NA",(SUMPRODUCT(AJ153,AE153)+SUMPRODUCT(AJ172,AE172))/AE134)</f>
        <v>NA</v>
      </c>
      <c r="AK134" s="155" t="str">
        <f t="shared" si="222"/>
        <v>NA</v>
      </c>
      <c r="AL134" s="155" t="str">
        <f t="shared" si="223"/>
        <v>NA</v>
      </c>
      <c r="AM134" s="155" t="str">
        <f t="shared" si="224"/>
        <v>NA</v>
      </c>
      <c r="AN134" s="155" t="str">
        <f t="shared" si="225"/>
        <v>NA</v>
      </c>
      <c r="AO134" s="155" t="str">
        <f t="shared" si="226"/>
        <v>NA</v>
      </c>
      <c r="AP134" s="155" t="str">
        <f t="shared" si="227"/>
        <v>NA</v>
      </c>
      <c r="AR134" s="79"/>
      <c r="AS134" s="79" t="s">
        <v>245</v>
      </c>
      <c r="AT134" s="151">
        <f>SUM(AT122:AT133)</f>
        <v>0</v>
      </c>
      <c r="AU134" s="153" t="str">
        <f t="shared" si="229"/>
        <v>NA</v>
      </c>
      <c r="AV134" s="153" t="str">
        <f t="shared" si="230"/>
        <v>NA</v>
      </c>
      <c r="AW134" s="153" t="str">
        <f t="shared" si="231"/>
        <v>NA</v>
      </c>
      <c r="AX134" s="153" t="str">
        <f t="shared" si="232"/>
        <v>NA</v>
      </c>
      <c r="AY134" s="153" t="str">
        <f>IF(AT134=0,"NA",(SUMPRODUCT(AY153,AT153)+SUMPRODUCT(AY172,AT172))/AT134)</f>
        <v>NA</v>
      </c>
      <c r="AZ134" s="151">
        <f>SUM(AZ122:AZ133)</f>
        <v>0</v>
      </c>
      <c r="BA134" s="153" t="str">
        <f t="shared" si="235"/>
        <v>NA</v>
      </c>
      <c r="BB134" s="153" t="str">
        <f t="shared" si="236"/>
        <v>NA</v>
      </c>
      <c r="BC134" s="153" t="str">
        <f t="shared" si="237"/>
        <v>NA</v>
      </c>
      <c r="BD134" s="153" t="str">
        <f t="shared" si="238"/>
        <v>NA</v>
      </c>
      <c r="BE134" s="153" t="str">
        <f>IF(AZ134=0,"NA",(SUMPRODUCT(BE153,BD153)+SUMPRODUCT(BE172,BD172))/AZ134)</f>
        <v>NA</v>
      </c>
      <c r="BF134" s="155" t="str">
        <f t="shared" si="240"/>
        <v>NA</v>
      </c>
      <c r="BG134" s="155" t="str">
        <f t="shared" si="241"/>
        <v>NA</v>
      </c>
      <c r="BH134" s="155" t="str">
        <f t="shared" si="242"/>
        <v>NA</v>
      </c>
      <c r="BI134" s="155" t="str">
        <f t="shared" si="243"/>
        <v>NA</v>
      </c>
      <c r="BJ134" s="155" t="str">
        <f t="shared" si="244"/>
        <v>NA</v>
      </c>
      <c r="BK134" s="155" t="str">
        <f t="shared" si="245"/>
        <v>NA</v>
      </c>
    </row>
    <row r="135" spans="2:63" x14ac:dyDescent="0.35">
      <c r="B135" s="79"/>
      <c r="C135" s="79" t="s">
        <v>246</v>
      </c>
      <c r="D135" s="151">
        <f>D134</f>
        <v>0</v>
      </c>
      <c r="E135" s="153" t="str">
        <f t="shared" si="193"/>
        <v>NA</v>
      </c>
      <c r="F135" s="153" t="str">
        <f t="shared" si="194"/>
        <v>NA</v>
      </c>
      <c r="G135" s="153" t="str">
        <f t="shared" si="195"/>
        <v>NA</v>
      </c>
      <c r="H135" s="153" t="str">
        <f t="shared" si="196"/>
        <v>NA</v>
      </c>
      <c r="I135" s="153" t="str">
        <f>IF(D135=0,"NA",(SUMPRODUCT(I154,D154)+SUMPRODUCT(I173,D173))/D135)</f>
        <v>NA</v>
      </c>
      <c r="J135" s="151">
        <f>J134</f>
        <v>0</v>
      </c>
      <c r="K135" s="153" t="str">
        <f t="shared" si="199"/>
        <v>NA</v>
      </c>
      <c r="L135" s="153" t="str">
        <f t="shared" si="200"/>
        <v>NA</v>
      </c>
      <c r="M135" s="153" t="str">
        <f t="shared" si="201"/>
        <v>NA</v>
      </c>
      <c r="N135" s="153" t="str">
        <f t="shared" si="202"/>
        <v>NA</v>
      </c>
      <c r="O135" s="153" t="str">
        <f>IF(J135=0,"NA",(SUMPRODUCT(O154,J154)+SUMPRODUCT(O173,J173))/J135)</f>
        <v>NA</v>
      </c>
      <c r="P135" s="155" t="str">
        <f t="shared" si="204"/>
        <v>NA</v>
      </c>
      <c r="Q135" s="155" t="str">
        <f t="shared" si="205"/>
        <v>NA</v>
      </c>
      <c r="R135" s="155" t="str">
        <f t="shared" si="206"/>
        <v>NA</v>
      </c>
      <c r="S135" s="155" t="str">
        <f t="shared" si="207"/>
        <v>NA</v>
      </c>
      <c r="T135" s="155" t="str">
        <f t="shared" si="208"/>
        <v>NA</v>
      </c>
      <c r="U135" s="155" t="str">
        <f t="shared" si="209"/>
        <v>NA</v>
      </c>
      <c r="W135" s="79"/>
      <c r="X135" s="79" t="s">
        <v>246</v>
      </c>
      <c r="Y135" s="151">
        <f>Y134</f>
        <v>0</v>
      </c>
      <c r="Z135" s="153" t="str">
        <f t="shared" si="211"/>
        <v>NA</v>
      </c>
      <c r="AA135" s="153" t="str">
        <f t="shared" si="212"/>
        <v>NA</v>
      </c>
      <c r="AB135" s="153" t="str">
        <f t="shared" si="213"/>
        <v>NA</v>
      </c>
      <c r="AC135" s="153" t="str">
        <f t="shared" si="214"/>
        <v>NA</v>
      </c>
      <c r="AD135" s="153" t="str">
        <f>IF(Y135=0,"NA",(SUMPRODUCT(AD154,Y154)+SUMPRODUCT(AD173,Y173))/Y135)</f>
        <v>NA</v>
      </c>
      <c r="AE135" s="151">
        <f>AE134</f>
        <v>0</v>
      </c>
      <c r="AF135" s="153" t="str">
        <f t="shared" si="217"/>
        <v>NA</v>
      </c>
      <c r="AG135" s="153" t="str">
        <f t="shared" si="218"/>
        <v>NA</v>
      </c>
      <c r="AH135" s="153" t="str">
        <f t="shared" si="219"/>
        <v>NA</v>
      </c>
      <c r="AI135" s="153" t="str">
        <f t="shared" si="220"/>
        <v>NA</v>
      </c>
      <c r="AJ135" s="153" t="str">
        <f>IF(AE135=0,"NA",(SUMPRODUCT(AJ154,AE154)+SUMPRODUCT(AJ173,AE173))/AE135)</f>
        <v>NA</v>
      </c>
      <c r="AK135" s="155" t="str">
        <f t="shared" si="222"/>
        <v>NA</v>
      </c>
      <c r="AL135" s="155" t="str">
        <f t="shared" si="223"/>
        <v>NA</v>
      </c>
      <c r="AM135" s="155" t="str">
        <f t="shared" si="224"/>
        <v>NA</v>
      </c>
      <c r="AN135" s="155" t="str">
        <f t="shared" si="225"/>
        <v>NA</v>
      </c>
      <c r="AO135" s="155" t="str">
        <f t="shared" si="226"/>
        <v>NA</v>
      </c>
      <c r="AP135" s="155" t="str">
        <f t="shared" si="227"/>
        <v>NA</v>
      </c>
      <c r="AR135" s="79"/>
      <c r="AS135" s="79" t="s">
        <v>246</v>
      </c>
      <c r="AT135" s="151">
        <f>AT134</f>
        <v>0</v>
      </c>
      <c r="AU135" s="153" t="str">
        <f t="shared" si="229"/>
        <v>NA</v>
      </c>
      <c r="AV135" s="153" t="str">
        <f t="shared" si="230"/>
        <v>NA</v>
      </c>
      <c r="AW135" s="153" t="str">
        <f t="shared" si="231"/>
        <v>NA</v>
      </c>
      <c r="AX135" s="153" t="str">
        <f t="shared" si="232"/>
        <v>NA</v>
      </c>
      <c r="AY135" s="153" t="str">
        <f>IF(AT135=0,"NA",(SUMPRODUCT(AY154,AT154)+SUMPRODUCT(AY173,AT173))/AT135)</f>
        <v>NA</v>
      </c>
      <c r="AZ135" s="151">
        <f>AZ134</f>
        <v>0</v>
      </c>
      <c r="BA135" s="153" t="str">
        <f t="shared" si="235"/>
        <v>NA</v>
      </c>
      <c r="BB135" s="153" t="str">
        <f t="shared" si="236"/>
        <v>NA</v>
      </c>
      <c r="BC135" s="153" t="str">
        <f t="shared" si="237"/>
        <v>NA</v>
      </c>
      <c r="BD135" s="153" t="str">
        <f t="shared" si="238"/>
        <v>NA</v>
      </c>
      <c r="BE135" s="153" t="str">
        <f>IF(AZ135=0,"NA",(SUMPRODUCT(BE154,AZ154)+SUMPRODUCT(BE173,AZ173))/AZ135)</f>
        <v>NA</v>
      </c>
      <c r="BF135" s="155" t="str">
        <f t="shared" si="240"/>
        <v>NA</v>
      </c>
      <c r="BG135" s="155" t="str">
        <f t="shared" si="241"/>
        <v>NA</v>
      </c>
      <c r="BH135" s="155" t="str">
        <f t="shared" si="242"/>
        <v>NA</v>
      </c>
      <c r="BI135" s="155" t="str">
        <f t="shared" si="243"/>
        <v>NA</v>
      </c>
      <c r="BJ135" s="155" t="str">
        <f t="shared" si="244"/>
        <v>NA</v>
      </c>
      <c r="BK135" s="155" t="str">
        <f t="shared" si="245"/>
        <v>NA</v>
      </c>
    </row>
    <row r="137" spans="2:63" x14ac:dyDescent="0.35">
      <c r="B137" s="71" t="s">
        <v>354</v>
      </c>
      <c r="W137" s="71" t="s">
        <v>355</v>
      </c>
      <c r="AR137" s="71" t="s">
        <v>353</v>
      </c>
    </row>
    <row r="138" spans="2:63" x14ac:dyDescent="0.35">
      <c r="B138" s="70" t="s">
        <v>307</v>
      </c>
      <c r="W138" s="70" t="s">
        <v>307</v>
      </c>
      <c r="AR138" s="70" t="s">
        <v>307</v>
      </c>
    </row>
    <row r="139" spans="2:63" x14ac:dyDescent="0.35">
      <c r="B139" s="218" t="s">
        <v>300</v>
      </c>
      <c r="C139" s="218"/>
      <c r="D139" s="215">
        <v>2018</v>
      </c>
      <c r="E139" s="216"/>
      <c r="F139" s="216"/>
      <c r="G139" s="216"/>
      <c r="H139" s="216"/>
      <c r="I139" s="217"/>
      <c r="J139" s="215">
        <v>2019</v>
      </c>
      <c r="K139" s="216"/>
      <c r="L139" s="216"/>
      <c r="M139" s="216"/>
      <c r="N139" s="216"/>
      <c r="O139" s="217"/>
      <c r="P139" s="218" t="s">
        <v>287</v>
      </c>
      <c r="Q139" s="218"/>
      <c r="R139" s="218"/>
      <c r="S139" s="218"/>
      <c r="T139" s="218"/>
      <c r="U139" s="218"/>
      <c r="W139" s="218" t="s">
        <v>300</v>
      </c>
      <c r="X139" s="218"/>
      <c r="Y139" s="215">
        <v>2019</v>
      </c>
      <c r="Z139" s="216"/>
      <c r="AA139" s="216"/>
      <c r="AB139" s="216"/>
      <c r="AC139" s="216"/>
      <c r="AD139" s="217"/>
      <c r="AE139" s="215">
        <v>2020</v>
      </c>
      <c r="AF139" s="216"/>
      <c r="AG139" s="216"/>
      <c r="AH139" s="216"/>
      <c r="AI139" s="216"/>
      <c r="AJ139" s="217"/>
      <c r="AK139" s="218" t="s">
        <v>288</v>
      </c>
      <c r="AL139" s="218"/>
      <c r="AM139" s="218"/>
      <c r="AN139" s="218"/>
      <c r="AO139" s="218"/>
      <c r="AP139" s="218"/>
      <c r="AR139" s="218" t="s">
        <v>300</v>
      </c>
      <c r="AS139" s="218"/>
      <c r="AT139" s="215">
        <v>2020</v>
      </c>
      <c r="AU139" s="216"/>
      <c r="AV139" s="216"/>
      <c r="AW139" s="216"/>
      <c r="AX139" s="216"/>
      <c r="AY139" s="217"/>
      <c r="AZ139" s="215">
        <v>2021</v>
      </c>
      <c r="BA139" s="216"/>
      <c r="BB139" s="216"/>
      <c r="BC139" s="216"/>
      <c r="BD139" s="216"/>
      <c r="BE139" s="217"/>
      <c r="BF139" s="218" t="s">
        <v>289</v>
      </c>
      <c r="BG139" s="218"/>
      <c r="BH139" s="218"/>
      <c r="BI139" s="218"/>
      <c r="BJ139" s="218"/>
      <c r="BK139" s="218"/>
    </row>
    <row r="140" spans="2:63" ht="43.5" x14ac:dyDescent="0.35">
      <c r="B140" s="97" t="s">
        <v>241</v>
      </c>
      <c r="C140" s="97" t="s">
        <v>242</v>
      </c>
      <c r="D140" s="97" t="s">
        <v>90</v>
      </c>
      <c r="E140" s="97" t="s">
        <v>267</v>
      </c>
      <c r="F140" s="97" t="s">
        <v>268</v>
      </c>
      <c r="G140" s="97" t="s">
        <v>243</v>
      </c>
      <c r="H140" s="97" t="s">
        <v>269</v>
      </c>
      <c r="I140" s="97" t="s">
        <v>244</v>
      </c>
      <c r="J140" s="97" t="s">
        <v>90</v>
      </c>
      <c r="K140" s="97" t="s">
        <v>267</v>
      </c>
      <c r="L140" s="97" t="s">
        <v>268</v>
      </c>
      <c r="M140" s="97" t="s">
        <v>243</v>
      </c>
      <c r="N140" s="97" t="s">
        <v>269</v>
      </c>
      <c r="O140" s="97" t="s">
        <v>244</v>
      </c>
      <c r="P140" s="97" t="s">
        <v>90</v>
      </c>
      <c r="Q140" s="97" t="s">
        <v>267</v>
      </c>
      <c r="R140" s="97" t="s">
        <v>268</v>
      </c>
      <c r="S140" s="97" t="s">
        <v>243</v>
      </c>
      <c r="T140" s="97" t="s">
        <v>269</v>
      </c>
      <c r="U140" s="97" t="s">
        <v>244</v>
      </c>
      <c r="W140" s="97" t="s">
        <v>241</v>
      </c>
      <c r="X140" s="97" t="s">
        <v>242</v>
      </c>
      <c r="Y140" s="97" t="s">
        <v>90</v>
      </c>
      <c r="Z140" s="97" t="s">
        <v>267</v>
      </c>
      <c r="AA140" s="97" t="s">
        <v>268</v>
      </c>
      <c r="AB140" s="97" t="s">
        <v>243</v>
      </c>
      <c r="AC140" s="97" t="s">
        <v>269</v>
      </c>
      <c r="AD140" s="97" t="s">
        <v>244</v>
      </c>
      <c r="AE140" s="97" t="s">
        <v>90</v>
      </c>
      <c r="AF140" s="97" t="s">
        <v>267</v>
      </c>
      <c r="AG140" s="97" t="s">
        <v>268</v>
      </c>
      <c r="AH140" s="97" t="s">
        <v>243</v>
      </c>
      <c r="AI140" s="97" t="s">
        <v>269</v>
      </c>
      <c r="AJ140" s="97" t="s">
        <v>244</v>
      </c>
      <c r="AK140" s="97" t="s">
        <v>90</v>
      </c>
      <c r="AL140" s="97" t="s">
        <v>267</v>
      </c>
      <c r="AM140" s="97" t="s">
        <v>268</v>
      </c>
      <c r="AN140" s="97" t="s">
        <v>243</v>
      </c>
      <c r="AO140" s="97" t="s">
        <v>269</v>
      </c>
      <c r="AP140" s="97" t="s">
        <v>244</v>
      </c>
      <c r="AR140" s="97" t="s">
        <v>241</v>
      </c>
      <c r="AS140" s="97" t="s">
        <v>242</v>
      </c>
      <c r="AT140" s="97" t="s">
        <v>90</v>
      </c>
      <c r="AU140" s="97" t="s">
        <v>267</v>
      </c>
      <c r="AV140" s="97" t="s">
        <v>268</v>
      </c>
      <c r="AW140" s="97" t="s">
        <v>243</v>
      </c>
      <c r="AX140" s="97" t="s">
        <v>269</v>
      </c>
      <c r="AY140" s="97" t="s">
        <v>244</v>
      </c>
      <c r="AZ140" s="97" t="s">
        <v>90</v>
      </c>
      <c r="BA140" s="97" t="s">
        <v>267</v>
      </c>
      <c r="BB140" s="97" t="s">
        <v>268</v>
      </c>
      <c r="BC140" s="97" t="s">
        <v>243</v>
      </c>
      <c r="BD140" s="97" t="s">
        <v>269</v>
      </c>
      <c r="BE140" s="97" t="s">
        <v>244</v>
      </c>
      <c r="BF140" s="97" t="s">
        <v>90</v>
      </c>
      <c r="BG140" s="97" t="s">
        <v>267</v>
      </c>
      <c r="BH140" s="97" t="s">
        <v>268</v>
      </c>
      <c r="BI140" s="97" t="s">
        <v>243</v>
      </c>
      <c r="BJ140" s="97" t="s">
        <v>269</v>
      </c>
      <c r="BK140" s="97" t="s">
        <v>244</v>
      </c>
    </row>
    <row r="141" spans="2:63" x14ac:dyDescent="0.35">
      <c r="B141" s="123">
        <v>101</v>
      </c>
      <c r="C141" s="103" t="s">
        <v>247</v>
      </c>
      <c r="D141" s="141">
        <f>SUMIFS(TME[[#All],[Member Months]],TME[[#All],[Reporting Year]],2018,TME[[#All],[Insurance Category Code]],2,TME[[#All],[Large Provider Entity Code]],B141)</f>
        <v>0</v>
      </c>
      <c r="E141" s="152" t="str">
        <f>IFERROR(SUMIFS(TME[[#All],[Total Non-Truncated Claims Spending]],TME[[#All],[Reporting Year]],2018,TME[[#All],[Insurance Category Code]],2,TME[[#All],[Large Provider Entity Code]],B141)/D141,"NA")</f>
        <v>NA</v>
      </c>
      <c r="F141" s="152" t="str">
        <f>IFERROR(SUMIFS(TME[[#All],[Total Truncated Claims Spending]],TME[[#All],[Reporting Year]],2018,TME[[#All],[Insurance Category Code]],2,TME[[#All],[Large Provider Entity Code]],B141)/D141,"NA")</f>
        <v>NA</v>
      </c>
      <c r="G141" s="152" t="str">
        <f>IFERROR(SUMIFS(TME[[#All],[Total Non-Claims Spending]],TME[[#All],[Reporting Year]],2018,TME[[#All],[Insurance Category Code]],2,TME[[#All],[Large Provider Entity Code]],B141)/D141,"NA")</f>
        <v>NA</v>
      </c>
      <c r="H141" s="152" t="str">
        <f>IFERROR(SUMIFS(TME[[#All],[Total Non-Truncated Claims and Non-Claims Spending]],TME[[#All],[Reporting Year]],2018,TME[[#All],[Insurance Category Code]],2,TME[[#All],[Large Provider Entity Code]],B141)/D141,"NA")</f>
        <v>NA</v>
      </c>
      <c r="I141" s="152" t="str">
        <f>IFERROR(SUMIFS(TME[[#All],[Truncated Total Expenses (Total Truncated Claims Expenses + Non-Claims Expenses)]],TME[[#All],[Reporting Year]],2018,TME[[#All],[Insurance Category Code]],2,TME[[#All],[Large Provider Entity Code]],B141)/D141,"NA")</f>
        <v>NA</v>
      </c>
      <c r="J141" s="141">
        <f>SUMIFS(TME[[#All],[Member Months]],TME[[#All],[Reporting Year]],2019,TME[[#All],[Insurance Category Code]],2,TME[[#All],[Large Provider Entity Code]],B141)</f>
        <v>0</v>
      </c>
      <c r="K141" s="152" t="str">
        <f>IFERROR(SUMIFS(TME[[#All],[Total Non-Truncated Claims Spending]],TME[[#All],[Reporting Year]],2019,TME[[#All],[Insurance Category Code]],2,TME[[#All],[Large Provider Entity Code]],B141)/J141,"NA")</f>
        <v>NA</v>
      </c>
      <c r="L141" s="152" t="str">
        <f>IFERROR(SUMIFS(TME[[#All],[Total Truncated Claims Spending]],TME[[#All],[Reporting Year]],2019,TME[[#All],[Insurance Category Code]],2,TME[[#All],[Large Provider Entity Code]],B141)/J141,"NA")</f>
        <v>NA</v>
      </c>
      <c r="M141" s="152" t="str">
        <f>IFERROR(SUMIFS(TME[[#All],[Total Non-Claims Spending]],TME[[#All],[Reporting Year]],2019,TME[[#All],[Insurance Category Code]],2,TME[[#All],[Large Provider Entity Code]],B141)/J141,"NA")</f>
        <v>NA</v>
      </c>
      <c r="N141" s="152" t="str">
        <f>IFERROR(SUMIFS(TME[[#All],[Total Non-Truncated Claims and Non-Claims Spending]],TME[[#All],[Reporting Year]],2019,TME[[#All],[Insurance Category Code]],2,TME[[#All],[Large Provider Entity Code]],B141)/J141,"NA")</f>
        <v>NA</v>
      </c>
      <c r="O141" s="152" t="str">
        <f>IFERROR(SUMIFS(TME[[#All],[Truncated Total Expenses (Total Truncated Claims Expenses + Non-Claims Expenses)]],TME[[#All],[Reporting Year]],2019,TME[[#All],[Insurance Category Code]],2,TME[[#All],[Large Provider Entity Code]],B141)/J141,"NA")</f>
        <v>NA</v>
      </c>
      <c r="P141" s="154" t="str">
        <f t="shared" ref="P141:P154" si="246">IFERROR((J141/D141-1),"NA")</f>
        <v>NA</v>
      </c>
      <c r="Q141" s="154" t="str">
        <f t="shared" ref="Q141:Q154" si="247">IFERROR((K141/E141-1),"NA")</f>
        <v>NA</v>
      </c>
      <c r="R141" s="154" t="str">
        <f t="shared" ref="R141:R154" si="248">IFERROR((L141/F141-1),"NA")</f>
        <v>NA</v>
      </c>
      <c r="S141" s="154" t="str">
        <f t="shared" ref="S141:S154" si="249">IFERROR((M141/G141-1),"NA")</f>
        <v>NA</v>
      </c>
      <c r="T141" s="154" t="str">
        <f t="shared" ref="T141:T154" si="250">IFERROR((N141/H141-1),"NA")</f>
        <v>NA</v>
      </c>
      <c r="U141" s="154" t="str">
        <f t="shared" ref="U141:U154" si="251">IFERROR((O141/I141-1),"NA")</f>
        <v>NA</v>
      </c>
      <c r="W141" s="123">
        <v>101</v>
      </c>
      <c r="X141" s="103" t="s">
        <v>247</v>
      </c>
      <c r="Y141" s="141">
        <f>SUMIFS(TME[[#All],[Member Months]],TME[[#All],[Reporting Year]],2019,TME[[#All],[Insurance Category Code]],2,TME[[#All],[Large Provider Entity Code]],W141)</f>
        <v>0</v>
      </c>
      <c r="Z141" s="152" t="str">
        <f>IFERROR(SUMIFS(TME[[#All],[Total Non-Truncated Claims Spending]],TME[[#All],[Reporting Year]],2019,TME[[#All],[Insurance Category Code]],2,TME[[#All],[Large Provider Entity Code]],W141)/Y141,"NA")</f>
        <v>NA</v>
      </c>
      <c r="AA141" s="152" t="str">
        <f>IFERROR(SUMIFS(TME[[#All],[Total Truncated Claims Spending]],TME[[#All],[Reporting Year]],2019,TME[[#All],[Insurance Category Code]],2,TME[[#All],[Large Provider Entity Code]],W141)/Y141,"NA")</f>
        <v>NA</v>
      </c>
      <c r="AB141" s="152" t="str">
        <f>IFERROR(SUMIFS(TME[[#All],[Total Non-Claims Spending]],TME[[#All],[Reporting Year]],2019,TME[[#All],[Insurance Category Code]],2,TME[[#All],[Large Provider Entity Code]],W141)/Y141,"NA")</f>
        <v>NA</v>
      </c>
      <c r="AC141" s="152" t="str">
        <f>IFERROR(SUMIFS(TME[[#All],[Total Non-Truncated Claims and Non-Claims Spending]],TME[[#All],[Reporting Year]],2019,TME[[#All],[Insurance Category Code]],2,TME[[#All],[Large Provider Entity Code]],W141)/Y141,"NA")</f>
        <v>NA</v>
      </c>
      <c r="AD141" s="152" t="str">
        <f>IFERROR(SUMIFS(TME[[#All],[Truncated Total Expenses (Total Truncated Claims Expenses + Non-Claims Expenses)]],TME[[#All],[Reporting Year]],2019,TME[[#All],[Insurance Category Code]],2,TME[[#All],[Large Provider Entity Code]],W141)/Y141,"NA")</f>
        <v>NA</v>
      </c>
      <c r="AE141" s="141">
        <f>SUMIFS(TME[[#All],[Member Months]],TME[[#All],[Reporting Year]],2020,TME[[#All],[Insurance Category Code]],2,TME[[#All],[Large Provider Entity Code]],W141)</f>
        <v>0</v>
      </c>
      <c r="AF141" s="152" t="str">
        <f>IFERROR(SUMIFS(TME[[#All],[Total Non-Truncated Claims Spending]],TME[[#All],[Reporting Year]],2020,TME[[#All],[Insurance Category Code]],2,TME[[#All],[Large Provider Entity Code]],W141)/AE141,"NA")</f>
        <v>NA</v>
      </c>
      <c r="AG141" s="152" t="str">
        <f>IFERROR(SUMIFS(TME[[#All],[Total Truncated Claims Spending]],TME[[#All],[Reporting Year]],2020,TME[[#All],[Insurance Category Code]],2,TME[[#All],[Large Provider Entity Code]],W141)/AE141,"NA")</f>
        <v>NA</v>
      </c>
      <c r="AH141" s="152" t="str">
        <f>IFERROR(SUMIFS(TME[[#All],[Total Non-Claims Spending]],TME[[#All],[Reporting Year]],2020,TME[[#All],[Insurance Category Code]],2,TME[[#All],[Large Provider Entity Code]],W141)/AE141,"NA")</f>
        <v>NA</v>
      </c>
      <c r="AI141" s="152" t="str">
        <f>IFERROR(SUMIFS(TME[[#All],[Total Non-Truncated Claims and Non-Claims Spending]],TME[[#All],[Reporting Year]],2020,TME[[#All],[Insurance Category Code]],2,TME[[#All],[Large Provider Entity Code]],W141)/AE141,"NA")</f>
        <v>NA</v>
      </c>
      <c r="AJ141" s="152" t="str">
        <f>IFERROR(SUMIFS(TME[[#All],[Truncated Total Expenses (Total Truncated Claims Expenses + Non-Claims Expenses)]],TME[[#All],[Reporting Year]],2020,TME[[#All],[Insurance Category Code]],2,TME[[#All],[Large Provider Entity Code]],W141)/AE141,"NA")</f>
        <v>NA</v>
      </c>
      <c r="AK141" s="154" t="str">
        <f t="shared" ref="AK141:AK154" si="252">IFERROR((AE141/Y141-1),"NA")</f>
        <v>NA</v>
      </c>
      <c r="AL141" s="154" t="str">
        <f t="shared" ref="AL141:AL154" si="253">IFERROR((AF141/Z141-1),"NA")</f>
        <v>NA</v>
      </c>
      <c r="AM141" s="154" t="str">
        <f t="shared" ref="AM141:AM154" si="254">IFERROR((AG141/AA141-1),"NA")</f>
        <v>NA</v>
      </c>
      <c r="AN141" s="154" t="str">
        <f t="shared" ref="AN141:AN154" si="255">IFERROR((AH141/AB141-1),"NA")</f>
        <v>NA</v>
      </c>
      <c r="AO141" s="154" t="str">
        <f t="shared" ref="AO141:AO154" si="256">IFERROR((AI141/AC141-1),"NA")</f>
        <v>NA</v>
      </c>
      <c r="AP141" s="154" t="str">
        <f t="shared" ref="AP141:AP154" si="257">IFERROR((AJ141/AD141-1),"NA")</f>
        <v>NA</v>
      </c>
      <c r="AR141" s="123">
        <v>101</v>
      </c>
      <c r="AS141" s="103" t="s">
        <v>247</v>
      </c>
      <c r="AT141" s="141">
        <f>SUMIFS(TME[[#All],[Member Months]],TME[[#All],[Reporting Year]],2020,TME[[#All],[Insurance Category Code]],2,TME[[#All],[Large Provider Entity Code]],AR141)</f>
        <v>0</v>
      </c>
      <c r="AU141" s="152" t="str">
        <f>IFERROR(SUMIFS(TME[[#All],[Total Non-Truncated Claims Spending]],TME[[#All],[Reporting Year]],2020,TME[[#All],[Insurance Category Code]],2,TME[[#All],[Large Provider Entity Code]],AR141)/AT141,"NA")</f>
        <v>NA</v>
      </c>
      <c r="AV141" s="152" t="str">
        <f>IFERROR(SUMIFS(TME[[#All],[Total Truncated Claims Spending]],TME[[#All],[Reporting Year]],2020,TME[[#All],[Insurance Category Code]],2,TME[[#All],[Large Provider Entity Code]],AR141)/AT141,"NA")</f>
        <v>NA</v>
      </c>
      <c r="AW141" s="152" t="str">
        <f>IFERROR(SUMIFS(TME[[#All],[Total Non-Claims Spending]],TME[[#All],[Reporting Year]],2020,TME[[#All],[Insurance Category Code]],2,TME[[#All],[Large Provider Entity Code]],AR141)/AT141,"NA")</f>
        <v>NA</v>
      </c>
      <c r="AX141" s="152" t="str">
        <f>IFERROR(SUMIFS(TME[[#All],[Total Non-Truncated Claims and Non-Claims Spending]],TME[[#All],[Reporting Year]],2020,TME[[#All],[Insurance Category Code]],2,TME[[#All],[Large Provider Entity Code]],AR141)/AT141,"NA")</f>
        <v>NA</v>
      </c>
      <c r="AY141" s="152" t="str">
        <f>IFERROR(SUMIFS(TME[[#All],[Truncated Total Expenses (Total Truncated Claims Expenses + Non-Claims Expenses)]],TME[[#All],[Reporting Year]],2020,TME[[#All],[Insurance Category Code]],2,TME[[#All],[Large Provider Entity Code]],AR141)/AT141,"NA")</f>
        <v>NA</v>
      </c>
      <c r="AZ141" s="141">
        <f>SUMIFS(TME[[#All],[Member Months]],TME[[#All],[Reporting Year]],2021,TME[[#All],[Insurance Category Code]],2,TME[[#All],[Large Provider Entity Code]],AR141)</f>
        <v>0</v>
      </c>
      <c r="BA141" s="152" t="str">
        <f>IFERROR(SUMIFS(TME[[#All],[Total Non-Truncated Claims Spending]],TME[[#All],[Reporting Year]],2021,TME[[#All],[Insurance Category Code]],2,TME[[#All],[Large Provider Entity Code]],AR141)/AZ141,"NA")</f>
        <v>NA</v>
      </c>
      <c r="BB141" s="152" t="str">
        <f>IFERROR(SUMIFS(TME[[#All],[Total Truncated Claims Spending]],TME[[#All],[Reporting Year]],2021,TME[[#All],[Insurance Category Code]],2,TME[[#All],[Large Provider Entity Code]],AR141)/AZ141,"NA")</f>
        <v>NA</v>
      </c>
      <c r="BC141" s="152" t="str">
        <f>IFERROR(SUMIFS(TME[[#All],[Total Non-Claims Spending]],TME[[#All],[Reporting Year]],2021,TME[[#All],[Insurance Category Code]],2,TME[[#All],[Large Provider Entity Code]],AR141)/AZ141,"NA")</f>
        <v>NA</v>
      </c>
      <c r="BD141" s="152" t="str">
        <f>IFERROR(SUMIFS(TME[[#All],[Total Non-Truncated Claims and Non-Claims Spending]],TME[[#All],[Reporting Year]],2021,TME[[#All],[Insurance Category Code]],2,TME[[#All],[Large Provider Entity Code]],AR141)/AZ141,"NA")</f>
        <v>NA</v>
      </c>
      <c r="BE141" s="152" t="str">
        <f>IFERROR(SUMIFS(TME[[#All],[Truncated Total Expenses (Total Truncated Claims Expenses + Non-Claims Expenses)]],TME[[#All],[Reporting Year]],2021,TME[[#All],[Insurance Category Code]],2,TME[[#All],[Large Provider Entity Code]],AR141)/AZ141,"NA")</f>
        <v>NA</v>
      </c>
      <c r="BF141" s="154" t="str">
        <f t="shared" ref="BF141:BF154" si="258">IFERROR((AZ141/AT141-1),"NA")</f>
        <v>NA</v>
      </c>
      <c r="BG141" s="154" t="str">
        <f t="shared" ref="BG141:BG154" si="259">IFERROR((BA141/AU141-1),"NA")</f>
        <v>NA</v>
      </c>
      <c r="BH141" s="154" t="str">
        <f t="shared" ref="BH141:BH154" si="260">IFERROR((BB141/AV141-1),"NA")</f>
        <v>NA</v>
      </c>
      <c r="BI141" s="154" t="str">
        <f t="shared" ref="BI141:BI154" si="261">IFERROR((BC141/AW141-1),"NA")</f>
        <v>NA</v>
      </c>
      <c r="BJ141" s="154" t="str">
        <f t="shared" ref="BJ141:BJ154" si="262">IFERROR((BD141/AX141-1),"NA")</f>
        <v>NA</v>
      </c>
      <c r="BK141" s="154" t="str">
        <f t="shared" ref="BK141:BK154" si="263">IFERROR((BE141/AY141-1),"NA")</f>
        <v>NA</v>
      </c>
    </row>
    <row r="142" spans="2:63" x14ac:dyDescent="0.35">
      <c r="B142" s="123">
        <v>102</v>
      </c>
      <c r="C142" s="103" t="s">
        <v>292</v>
      </c>
      <c r="D142" s="141">
        <f>SUMIFS(TME[[#All],[Member Months]],TME[[#All],[Reporting Year]],2018,TME[[#All],[Insurance Category Code]],2,TME[[#All],[Large Provider Entity Code]],B142)</f>
        <v>0</v>
      </c>
      <c r="E142" s="152" t="str">
        <f>IFERROR(SUMIFS(TME[[#All],[Total Non-Truncated Claims Spending]],TME[[#All],[Reporting Year]],2018,TME[[#All],[Insurance Category Code]],2,TME[[#All],[Large Provider Entity Code]],B142)/D142,"NA")</f>
        <v>NA</v>
      </c>
      <c r="F142" s="152" t="str">
        <f>IFERROR(SUMIFS(TME[[#All],[Total Truncated Claims Spending]],TME[[#All],[Reporting Year]],2018,TME[[#All],[Insurance Category Code]],2,TME[[#All],[Large Provider Entity Code]],B142)/D142,"NA")</f>
        <v>NA</v>
      </c>
      <c r="G142" s="152" t="str">
        <f>IFERROR(SUMIFS(TME[[#All],[Total Non-Claims Spending]],TME[[#All],[Reporting Year]],2018,TME[[#All],[Insurance Category Code]],2,TME[[#All],[Large Provider Entity Code]],B142)/D142,"NA")</f>
        <v>NA</v>
      </c>
      <c r="H142" s="152" t="str">
        <f>IFERROR(SUMIFS(TME[[#All],[Total Non-Truncated Claims and Non-Claims Spending]],TME[[#All],[Reporting Year]],2018,TME[[#All],[Insurance Category Code]],2,TME[[#All],[Large Provider Entity Code]],B142)/D142,"NA")</f>
        <v>NA</v>
      </c>
      <c r="I142" s="152" t="str">
        <f>IFERROR(SUMIFS(TME[[#All],[Truncated Total Expenses (Total Truncated Claims Expenses + Non-Claims Expenses)]],TME[[#All],[Reporting Year]],2018,TME[[#All],[Insurance Category Code]],2,TME[[#All],[Large Provider Entity Code]],B142)/D142,"NA")</f>
        <v>NA</v>
      </c>
      <c r="J142" s="141">
        <f>SUMIFS(TME[[#All],[Member Months]],TME[[#All],[Reporting Year]],2019,TME[[#All],[Insurance Category Code]],2,TME[[#All],[Large Provider Entity Code]],B142)</f>
        <v>0</v>
      </c>
      <c r="K142" s="152" t="str">
        <f>IFERROR(SUMIFS(TME[[#All],[Total Non-Truncated Claims Spending]],TME[[#All],[Reporting Year]],2019,TME[[#All],[Insurance Category Code]],2,TME[[#All],[Large Provider Entity Code]],B142)/J142,"NA")</f>
        <v>NA</v>
      </c>
      <c r="L142" s="152" t="str">
        <f>IFERROR(SUMIFS(TME[[#All],[Total Truncated Claims Spending]],TME[[#All],[Reporting Year]],2019,TME[[#All],[Insurance Category Code]],2,TME[[#All],[Large Provider Entity Code]],B142)/J142,"NA")</f>
        <v>NA</v>
      </c>
      <c r="M142" s="152" t="str">
        <f>IFERROR(SUMIFS(TME[[#All],[Total Non-Claims Spending]],TME[[#All],[Reporting Year]],2019,TME[[#All],[Insurance Category Code]],2,TME[[#All],[Large Provider Entity Code]],B142)/J142,"NA")</f>
        <v>NA</v>
      </c>
      <c r="N142" s="152" t="str">
        <f>IFERROR(SUMIFS(TME[[#All],[Total Non-Truncated Claims and Non-Claims Spending]],TME[[#All],[Reporting Year]],2019,TME[[#All],[Insurance Category Code]],2,TME[[#All],[Large Provider Entity Code]],B142)/J142,"NA")</f>
        <v>NA</v>
      </c>
      <c r="O142" s="152" t="str">
        <f>IFERROR(SUMIFS(TME[[#All],[Truncated Total Expenses (Total Truncated Claims Expenses + Non-Claims Expenses)]],TME[[#All],[Reporting Year]],2019,TME[[#All],[Insurance Category Code]],2,TME[[#All],[Large Provider Entity Code]],B142)/J142,"NA")</f>
        <v>NA</v>
      </c>
      <c r="P142" s="154" t="str">
        <f t="shared" si="246"/>
        <v>NA</v>
      </c>
      <c r="Q142" s="154" t="str">
        <f t="shared" si="247"/>
        <v>NA</v>
      </c>
      <c r="R142" s="154" t="str">
        <f t="shared" si="248"/>
        <v>NA</v>
      </c>
      <c r="S142" s="154" t="str">
        <f t="shared" si="249"/>
        <v>NA</v>
      </c>
      <c r="T142" s="154" t="str">
        <f t="shared" si="250"/>
        <v>NA</v>
      </c>
      <c r="U142" s="154" t="str">
        <f t="shared" si="251"/>
        <v>NA</v>
      </c>
      <c r="W142" s="123">
        <v>102</v>
      </c>
      <c r="X142" s="103" t="s">
        <v>292</v>
      </c>
      <c r="Y142" s="141">
        <f>SUMIFS(TME[[#All],[Member Months]],TME[[#All],[Reporting Year]],2019,TME[[#All],[Insurance Category Code]],2,TME[[#All],[Large Provider Entity Code]],W142)</f>
        <v>0</v>
      </c>
      <c r="Z142" s="152" t="str">
        <f>IFERROR(SUMIFS(TME[[#All],[Total Non-Truncated Claims Spending]],TME[[#All],[Reporting Year]],2019,TME[[#All],[Insurance Category Code]],2,TME[[#All],[Large Provider Entity Code]],W142)/Y142,"NA")</f>
        <v>NA</v>
      </c>
      <c r="AA142" s="152" t="str">
        <f>IFERROR(SUMIFS(TME[[#All],[Total Truncated Claims Spending]],TME[[#All],[Reporting Year]],2019,TME[[#All],[Insurance Category Code]],2,TME[[#All],[Large Provider Entity Code]],W142)/Y142,"NA")</f>
        <v>NA</v>
      </c>
      <c r="AB142" s="152" t="str">
        <f>IFERROR(SUMIFS(TME[[#All],[Total Non-Claims Spending]],TME[[#All],[Reporting Year]],2019,TME[[#All],[Insurance Category Code]],2,TME[[#All],[Large Provider Entity Code]],W142)/Y142,"NA")</f>
        <v>NA</v>
      </c>
      <c r="AC142" s="152" t="str">
        <f>IFERROR(SUMIFS(TME[[#All],[Total Non-Truncated Claims and Non-Claims Spending]],TME[[#All],[Reporting Year]],2019,TME[[#All],[Insurance Category Code]],2,TME[[#All],[Large Provider Entity Code]],W142)/Y142,"NA")</f>
        <v>NA</v>
      </c>
      <c r="AD142" s="152" t="str">
        <f>IFERROR(SUMIFS(TME[[#All],[Truncated Total Expenses (Total Truncated Claims Expenses + Non-Claims Expenses)]],TME[[#All],[Reporting Year]],2019,TME[[#All],[Insurance Category Code]],2,TME[[#All],[Large Provider Entity Code]],W142)/Y142,"NA")</f>
        <v>NA</v>
      </c>
      <c r="AE142" s="141">
        <f>SUMIFS(TME[[#All],[Member Months]],TME[[#All],[Reporting Year]],2020,TME[[#All],[Insurance Category Code]],2,TME[[#All],[Large Provider Entity Code]],W142)</f>
        <v>0</v>
      </c>
      <c r="AF142" s="152" t="str">
        <f>IFERROR(SUMIFS(TME[[#All],[Total Non-Truncated Claims Spending]],TME[[#All],[Reporting Year]],2020,TME[[#All],[Insurance Category Code]],2,TME[[#All],[Large Provider Entity Code]],W142)/AE142,"NA")</f>
        <v>NA</v>
      </c>
      <c r="AG142" s="152" t="str">
        <f>IFERROR(SUMIFS(TME[[#All],[Total Truncated Claims Spending]],TME[[#All],[Reporting Year]],2020,TME[[#All],[Insurance Category Code]],2,TME[[#All],[Large Provider Entity Code]],W142)/AE142,"NA")</f>
        <v>NA</v>
      </c>
      <c r="AH142" s="152" t="str">
        <f>IFERROR(SUMIFS(TME[[#All],[Total Non-Claims Spending]],TME[[#All],[Reporting Year]],2020,TME[[#All],[Insurance Category Code]],2,TME[[#All],[Large Provider Entity Code]],W142)/AE142,"NA")</f>
        <v>NA</v>
      </c>
      <c r="AI142" s="152" t="str">
        <f>IFERROR(SUMIFS(TME[[#All],[Total Non-Truncated Claims and Non-Claims Spending]],TME[[#All],[Reporting Year]],2020,TME[[#All],[Insurance Category Code]],2,TME[[#All],[Large Provider Entity Code]],W142)/AE142,"NA")</f>
        <v>NA</v>
      </c>
      <c r="AJ142" s="152" t="str">
        <f>IFERROR(SUMIFS(TME[[#All],[Truncated Total Expenses (Total Truncated Claims Expenses + Non-Claims Expenses)]],TME[[#All],[Reporting Year]],2020,TME[[#All],[Insurance Category Code]],2,TME[[#All],[Large Provider Entity Code]],W142)/AE142,"NA")</f>
        <v>NA</v>
      </c>
      <c r="AK142" s="154" t="str">
        <f t="shared" si="252"/>
        <v>NA</v>
      </c>
      <c r="AL142" s="154" t="str">
        <f t="shared" si="253"/>
        <v>NA</v>
      </c>
      <c r="AM142" s="154" t="str">
        <f t="shared" si="254"/>
        <v>NA</v>
      </c>
      <c r="AN142" s="154" t="str">
        <f t="shared" si="255"/>
        <v>NA</v>
      </c>
      <c r="AO142" s="154" t="str">
        <f t="shared" si="256"/>
        <v>NA</v>
      </c>
      <c r="AP142" s="154" t="str">
        <f t="shared" si="257"/>
        <v>NA</v>
      </c>
      <c r="AR142" s="123">
        <v>102</v>
      </c>
      <c r="AS142" s="103" t="s">
        <v>292</v>
      </c>
      <c r="AT142" s="141">
        <f>SUMIFS(TME[[#All],[Member Months]],TME[[#All],[Reporting Year]],2020,TME[[#All],[Insurance Category Code]],2,TME[[#All],[Large Provider Entity Code]],AR142)</f>
        <v>0</v>
      </c>
      <c r="AU142" s="152" t="str">
        <f>IFERROR(SUMIFS(TME[[#All],[Total Non-Truncated Claims Spending]],TME[[#All],[Reporting Year]],2020,TME[[#All],[Insurance Category Code]],2,TME[[#All],[Large Provider Entity Code]],AR142)/AT142,"NA")</f>
        <v>NA</v>
      </c>
      <c r="AV142" s="152" t="str">
        <f>IFERROR(SUMIFS(TME[[#All],[Total Truncated Claims Spending]],TME[[#All],[Reporting Year]],2020,TME[[#All],[Insurance Category Code]],2,TME[[#All],[Large Provider Entity Code]],AR142)/AT142,"NA")</f>
        <v>NA</v>
      </c>
      <c r="AW142" s="152" t="str">
        <f>IFERROR(SUMIFS(TME[[#All],[Total Non-Claims Spending]],TME[[#All],[Reporting Year]],2020,TME[[#All],[Insurance Category Code]],2,TME[[#All],[Large Provider Entity Code]],AR142)/AT142,"NA")</f>
        <v>NA</v>
      </c>
      <c r="AX142" s="152" t="str">
        <f>IFERROR(SUMIFS(TME[[#All],[Total Non-Truncated Claims and Non-Claims Spending]],TME[[#All],[Reporting Year]],2020,TME[[#All],[Insurance Category Code]],2,TME[[#All],[Large Provider Entity Code]],AR142)/AT142,"NA")</f>
        <v>NA</v>
      </c>
      <c r="AY142" s="152" t="str">
        <f>IFERROR(SUMIFS(TME[[#All],[Truncated Total Expenses (Total Truncated Claims Expenses + Non-Claims Expenses)]],TME[[#All],[Reporting Year]],2020,TME[[#All],[Insurance Category Code]],2,TME[[#All],[Large Provider Entity Code]],AR142)/AT142,"NA")</f>
        <v>NA</v>
      </c>
      <c r="AZ142" s="141">
        <f>SUMIFS(TME[[#All],[Member Months]],TME[[#All],[Reporting Year]],2021,TME[[#All],[Insurance Category Code]],2,TME[[#All],[Large Provider Entity Code]],AR142)</f>
        <v>0</v>
      </c>
      <c r="BA142" s="152" t="str">
        <f>IFERROR(SUMIFS(TME[[#All],[Total Non-Truncated Claims Spending]],TME[[#All],[Reporting Year]],2021,TME[[#All],[Insurance Category Code]],2,TME[[#All],[Large Provider Entity Code]],AR142)/AZ142,"NA")</f>
        <v>NA</v>
      </c>
      <c r="BB142" s="152" t="str">
        <f>IFERROR(SUMIFS(TME[[#All],[Total Truncated Claims Spending]],TME[[#All],[Reporting Year]],2021,TME[[#All],[Insurance Category Code]],2,TME[[#All],[Large Provider Entity Code]],AR142)/AZ142,"NA")</f>
        <v>NA</v>
      </c>
      <c r="BC142" s="152" t="str">
        <f>IFERROR(SUMIFS(TME[[#All],[Total Non-Claims Spending]],TME[[#All],[Reporting Year]],2021,TME[[#All],[Insurance Category Code]],2,TME[[#All],[Large Provider Entity Code]],AR142)/AZ142,"NA")</f>
        <v>NA</v>
      </c>
      <c r="BD142" s="152" t="str">
        <f>IFERROR(SUMIFS(TME[[#All],[Total Non-Truncated Claims and Non-Claims Spending]],TME[[#All],[Reporting Year]],2021,TME[[#All],[Insurance Category Code]],2,TME[[#All],[Large Provider Entity Code]],AR142)/AZ142,"NA")</f>
        <v>NA</v>
      </c>
      <c r="BE142" s="152" t="str">
        <f>IFERROR(SUMIFS(TME[[#All],[Truncated Total Expenses (Total Truncated Claims Expenses + Non-Claims Expenses)]],TME[[#All],[Reporting Year]],2021,TME[[#All],[Insurance Category Code]],2,TME[[#All],[Large Provider Entity Code]],AR142)/AZ142,"NA")</f>
        <v>NA</v>
      </c>
      <c r="BF142" s="154" t="str">
        <f t="shared" si="258"/>
        <v>NA</v>
      </c>
      <c r="BG142" s="154" t="str">
        <f t="shared" si="259"/>
        <v>NA</v>
      </c>
      <c r="BH142" s="154" t="str">
        <f t="shared" si="260"/>
        <v>NA</v>
      </c>
      <c r="BI142" s="154" t="str">
        <f t="shared" si="261"/>
        <v>NA</v>
      </c>
      <c r="BJ142" s="154" t="str">
        <f t="shared" si="262"/>
        <v>NA</v>
      </c>
      <c r="BK142" s="154" t="str">
        <f t="shared" si="263"/>
        <v>NA</v>
      </c>
    </row>
    <row r="143" spans="2:63" x14ac:dyDescent="0.35">
      <c r="B143" s="123">
        <v>103</v>
      </c>
      <c r="C143" s="103" t="s">
        <v>248</v>
      </c>
      <c r="D143" s="141">
        <f>SUMIFS(TME[[#All],[Member Months]],TME[[#All],[Reporting Year]],2018,TME[[#All],[Insurance Category Code]],2,TME[[#All],[Large Provider Entity Code]],B143)</f>
        <v>0</v>
      </c>
      <c r="E143" s="152" t="str">
        <f>IFERROR(SUMIFS(TME[[#All],[Total Non-Truncated Claims Spending]],TME[[#All],[Reporting Year]],2018,TME[[#All],[Insurance Category Code]],2,TME[[#All],[Large Provider Entity Code]],B143)/D143,"NA")</f>
        <v>NA</v>
      </c>
      <c r="F143" s="152" t="str">
        <f>IFERROR(SUMIFS(TME[[#All],[Total Truncated Claims Spending]],TME[[#All],[Reporting Year]],2018,TME[[#All],[Insurance Category Code]],2,TME[[#All],[Large Provider Entity Code]],B143)/D143,"NA")</f>
        <v>NA</v>
      </c>
      <c r="G143" s="152" t="str">
        <f>IFERROR(SUMIFS(TME[[#All],[Total Non-Claims Spending]],TME[[#All],[Reporting Year]],2018,TME[[#All],[Insurance Category Code]],2,TME[[#All],[Large Provider Entity Code]],B143)/D143,"NA")</f>
        <v>NA</v>
      </c>
      <c r="H143" s="152" t="str">
        <f>IFERROR(SUMIFS(TME[[#All],[Total Non-Truncated Claims and Non-Claims Spending]],TME[[#All],[Reporting Year]],2018,TME[[#All],[Insurance Category Code]],2,TME[[#All],[Large Provider Entity Code]],B143)/D143,"NA")</f>
        <v>NA</v>
      </c>
      <c r="I143" s="152" t="str">
        <f>IFERROR(SUMIFS(TME[[#All],[Truncated Total Expenses (Total Truncated Claims Expenses + Non-Claims Expenses)]],TME[[#All],[Reporting Year]],2018,TME[[#All],[Insurance Category Code]],2,TME[[#All],[Large Provider Entity Code]],B143)/D143,"NA")</f>
        <v>NA</v>
      </c>
      <c r="J143" s="141">
        <f>SUMIFS(TME[[#All],[Member Months]],TME[[#All],[Reporting Year]],2019,TME[[#All],[Insurance Category Code]],2,TME[[#All],[Large Provider Entity Code]],B143)</f>
        <v>0</v>
      </c>
      <c r="K143" s="152" t="str">
        <f>IFERROR(SUMIFS(TME[[#All],[Total Non-Truncated Claims Spending]],TME[[#All],[Reporting Year]],2019,TME[[#All],[Insurance Category Code]],2,TME[[#All],[Large Provider Entity Code]],B143)/J143,"NA")</f>
        <v>NA</v>
      </c>
      <c r="L143" s="152" t="str">
        <f>IFERROR(SUMIFS(TME[[#All],[Total Truncated Claims Spending]],TME[[#All],[Reporting Year]],2019,TME[[#All],[Insurance Category Code]],2,TME[[#All],[Large Provider Entity Code]],B143)/J143,"NA")</f>
        <v>NA</v>
      </c>
      <c r="M143" s="152" t="str">
        <f>IFERROR(SUMIFS(TME[[#All],[Total Non-Claims Spending]],TME[[#All],[Reporting Year]],2019,TME[[#All],[Insurance Category Code]],2,TME[[#All],[Large Provider Entity Code]],B143)/J143,"NA")</f>
        <v>NA</v>
      </c>
      <c r="N143" s="152" t="str">
        <f>IFERROR(SUMIFS(TME[[#All],[Total Non-Truncated Claims and Non-Claims Spending]],TME[[#All],[Reporting Year]],2019,TME[[#All],[Insurance Category Code]],2,TME[[#All],[Large Provider Entity Code]],B143)/J143,"NA")</f>
        <v>NA</v>
      </c>
      <c r="O143" s="152" t="str">
        <f>IFERROR(SUMIFS(TME[[#All],[Truncated Total Expenses (Total Truncated Claims Expenses + Non-Claims Expenses)]],TME[[#All],[Reporting Year]],2019,TME[[#All],[Insurance Category Code]],2,TME[[#All],[Large Provider Entity Code]],B143)/J143,"NA")</f>
        <v>NA</v>
      </c>
      <c r="P143" s="154" t="str">
        <f t="shared" si="246"/>
        <v>NA</v>
      </c>
      <c r="Q143" s="154" t="str">
        <f t="shared" si="247"/>
        <v>NA</v>
      </c>
      <c r="R143" s="154" t="str">
        <f t="shared" si="248"/>
        <v>NA</v>
      </c>
      <c r="S143" s="154" t="str">
        <f t="shared" si="249"/>
        <v>NA</v>
      </c>
      <c r="T143" s="154" t="str">
        <f t="shared" si="250"/>
        <v>NA</v>
      </c>
      <c r="U143" s="154" t="str">
        <f t="shared" si="251"/>
        <v>NA</v>
      </c>
      <c r="W143" s="123">
        <v>103</v>
      </c>
      <c r="X143" s="103" t="s">
        <v>248</v>
      </c>
      <c r="Y143" s="141">
        <f>SUMIFS(TME[[#All],[Member Months]],TME[[#All],[Reporting Year]],2019,TME[[#All],[Insurance Category Code]],2,TME[[#All],[Large Provider Entity Code]],W143)</f>
        <v>0</v>
      </c>
      <c r="Z143" s="152" t="str">
        <f>IFERROR(SUMIFS(TME[[#All],[Total Non-Truncated Claims Spending]],TME[[#All],[Reporting Year]],2019,TME[[#All],[Insurance Category Code]],2,TME[[#All],[Large Provider Entity Code]],W143)/Y143,"NA")</f>
        <v>NA</v>
      </c>
      <c r="AA143" s="152" t="str">
        <f>IFERROR(SUMIFS(TME[[#All],[Total Truncated Claims Spending]],TME[[#All],[Reporting Year]],2019,TME[[#All],[Insurance Category Code]],2,TME[[#All],[Large Provider Entity Code]],W143)/Y143,"NA")</f>
        <v>NA</v>
      </c>
      <c r="AB143" s="152" t="str">
        <f>IFERROR(SUMIFS(TME[[#All],[Total Non-Claims Spending]],TME[[#All],[Reporting Year]],2019,TME[[#All],[Insurance Category Code]],2,TME[[#All],[Large Provider Entity Code]],W143)/Y143,"NA")</f>
        <v>NA</v>
      </c>
      <c r="AC143" s="152" t="str">
        <f>IFERROR(SUMIFS(TME[[#All],[Total Non-Truncated Claims and Non-Claims Spending]],TME[[#All],[Reporting Year]],2019,TME[[#All],[Insurance Category Code]],2,TME[[#All],[Large Provider Entity Code]],W143)/Y143,"NA")</f>
        <v>NA</v>
      </c>
      <c r="AD143" s="152" t="str">
        <f>IFERROR(SUMIFS(TME[[#All],[Truncated Total Expenses (Total Truncated Claims Expenses + Non-Claims Expenses)]],TME[[#All],[Reporting Year]],2019,TME[[#All],[Insurance Category Code]],2,TME[[#All],[Large Provider Entity Code]],W143)/Y143,"NA")</f>
        <v>NA</v>
      </c>
      <c r="AE143" s="141">
        <f>SUMIFS(TME[[#All],[Member Months]],TME[[#All],[Reporting Year]],2020,TME[[#All],[Insurance Category Code]],2,TME[[#All],[Large Provider Entity Code]],W143)</f>
        <v>0</v>
      </c>
      <c r="AF143" s="152" t="str">
        <f>IFERROR(SUMIFS(TME[[#All],[Total Non-Truncated Claims Spending]],TME[[#All],[Reporting Year]],2020,TME[[#All],[Insurance Category Code]],2,TME[[#All],[Large Provider Entity Code]],W143)/AE143,"NA")</f>
        <v>NA</v>
      </c>
      <c r="AG143" s="152" t="str">
        <f>IFERROR(SUMIFS(TME[[#All],[Total Truncated Claims Spending]],TME[[#All],[Reporting Year]],2020,TME[[#All],[Insurance Category Code]],2,TME[[#All],[Large Provider Entity Code]],W143)/AE143,"NA")</f>
        <v>NA</v>
      </c>
      <c r="AH143" s="152" t="str">
        <f>IFERROR(SUMIFS(TME[[#All],[Total Non-Claims Spending]],TME[[#All],[Reporting Year]],2020,TME[[#All],[Insurance Category Code]],2,TME[[#All],[Large Provider Entity Code]],W143)/AE143,"NA")</f>
        <v>NA</v>
      </c>
      <c r="AI143" s="152" t="str">
        <f>IFERROR(SUMIFS(TME[[#All],[Total Non-Truncated Claims and Non-Claims Spending]],TME[[#All],[Reporting Year]],2020,TME[[#All],[Insurance Category Code]],2,TME[[#All],[Large Provider Entity Code]],W143)/AE143,"NA")</f>
        <v>NA</v>
      </c>
      <c r="AJ143" s="152" t="str">
        <f>IFERROR(SUMIFS(TME[[#All],[Truncated Total Expenses (Total Truncated Claims Expenses + Non-Claims Expenses)]],TME[[#All],[Reporting Year]],2020,TME[[#All],[Insurance Category Code]],2,TME[[#All],[Large Provider Entity Code]],W143)/AE143,"NA")</f>
        <v>NA</v>
      </c>
      <c r="AK143" s="154" t="str">
        <f t="shared" si="252"/>
        <v>NA</v>
      </c>
      <c r="AL143" s="154" t="str">
        <f t="shared" si="253"/>
        <v>NA</v>
      </c>
      <c r="AM143" s="154" t="str">
        <f t="shared" si="254"/>
        <v>NA</v>
      </c>
      <c r="AN143" s="154" t="str">
        <f t="shared" si="255"/>
        <v>NA</v>
      </c>
      <c r="AO143" s="154" t="str">
        <f t="shared" si="256"/>
        <v>NA</v>
      </c>
      <c r="AP143" s="154" t="str">
        <f t="shared" si="257"/>
        <v>NA</v>
      </c>
      <c r="AR143" s="123">
        <v>103</v>
      </c>
      <c r="AS143" s="103" t="s">
        <v>248</v>
      </c>
      <c r="AT143" s="141">
        <f>SUMIFS(TME[[#All],[Member Months]],TME[[#All],[Reporting Year]],2020,TME[[#All],[Insurance Category Code]],2,TME[[#All],[Large Provider Entity Code]],AR143)</f>
        <v>0</v>
      </c>
      <c r="AU143" s="152" t="str">
        <f>IFERROR(SUMIFS(TME[[#All],[Total Non-Truncated Claims Spending]],TME[[#All],[Reporting Year]],2020,TME[[#All],[Insurance Category Code]],2,TME[[#All],[Large Provider Entity Code]],AR143)/AT143,"NA")</f>
        <v>NA</v>
      </c>
      <c r="AV143" s="152" t="str">
        <f>IFERROR(SUMIFS(TME[[#All],[Total Truncated Claims Spending]],TME[[#All],[Reporting Year]],2020,TME[[#All],[Insurance Category Code]],2,TME[[#All],[Large Provider Entity Code]],AR143)/AT143,"NA")</f>
        <v>NA</v>
      </c>
      <c r="AW143" s="152" t="str">
        <f>IFERROR(SUMIFS(TME[[#All],[Total Non-Claims Spending]],TME[[#All],[Reporting Year]],2020,TME[[#All],[Insurance Category Code]],2,TME[[#All],[Large Provider Entity Code]],AR143)/AT143,"NA")</f>
        <v>NA</v>
      </c>
      <c r="AX143" s="152" t="str">
        <f>IFERROR(SUMIFS(TME[[#All],[Total Non-Truncated Claims and Non-Claims Spending]],TME[[#All],[Reporting Year]],2020,TME[[#All],[Insurance Category Code]],2,TME[[#All],[Large Provider Entity Code]],AR143)/AT143,"NA")</f>
        <v>NA</v>
      </c>
      <c r="AY143" s="152" t="str">
        <f>IFERROR(SUMIFS(TME[[#All],[Truncated Total Expenses (Total Truncated Claims Expenses + Non-Claims Expenses)]],TME[[#All],[Reporting Year]],2020,TME[[#All],[Insurance Category Code]],2,TME[[#All],[Large Provider Entity Code]],AR143)/AT143,"NA")</f>
        <v>NA</v>
      </c>
      <c r="AZ143" s="141">
        <f>SUMIFS(TME[[#All],[Member Months]],TME[[#All],[Reporting Year]],2021,TME[[#All],[Insurance Category Code]],2,TME[[#All],[Large Provider Entity Code]],AR143)</f>
        <v>0</v>
      </c>
      <c r="BA143" s="152" t="str">
        <f>IFERROR(SUMIFS(TME[[#All],[Total Non-Truncated Claims Spending]],TME[[#All],[Reporting Year]],2021,TME[[#All],[Insurance Category Code]],2,TME[[#All],[Large Provider Entity Code]],AR143)/AZ143,"NA")</f>
        <v>NA</v>
      </c>
      <c r="BB143" s="152" t="str">
        <f>IFERROR(SUMIFS(TME[[#All],[Total Truncated Claims Spending]],TME[[#All],[Reporting Year]],2021,TME[[#All],[Insurance Category Code]],2,TME[[#All],[Large Provider Entity Code]],AR143)/AZ143,"NA")</f>
        <v>NA</v>
      </c>
      <c r="BC143" s="152" t="str">
        <f>IFERROR(SUMIFS(TME[[#All],[Total Non-Claims Spending]],TME[[#All],[Reporting Year]],2021,TME[[#All],[Insurance Category Code]],2,TME[[#All],[Large Provider Entity Code]],AR143)/AZ143,"NA")</f>
        <v>NA</v>
      </c>
      <c r="BD143" s="152" t="str">
        <f>IFERROR(SUMIFS(TME[[#All],[Total Non-Truncated Claims and Non-Claims Spending]],TME[[#All],[Reporting Year]],2021,TME[[#All],[Insurance Category Code]],2,TME[[#All],[Large Provider Entity Code]],AR143)/AZ143,"NA")</f>
        <v>NA</v>
      </c>
      <c r="BE143" s="152" t="str">
        <f>IFERROR(SUMIFS(TME[[#All],[Truncated Total Expenses (Total Truncated Claims Expenses + Non-Claims Expenses)]],TME[[#All],[Reporting Year]],2021,TME[[#All],[Insurance Category Code]],2,TME[[#All],[Large Provider Entity Code]],AR143)/AZ143,"NA")</f>
        <v>NA</v>
      </c>
      <c r="BF143" s="154" t="str">
        <f t="shared" si="258"/>
        <v>NA</v>
      </c>
      <c r="BG143" s="154" t="str">
        <f t="shared" si="259"/>
        <v>NA</v>
      </c>
      <c r="BH143" s="154" t="str">
        <f t="shared" si="260"/>
        <v>NA</v>
      </c>
      <c r="BI143" s="154" t="str">
        <f t="shared" si="261"/>
        <v>NA</v>
      </c>
      <c r="BJ143" s="154" t="str">
        <f t="shared" si="262"/>
        <v>NA</v>
      </c>
      <c r="BK143" s="154" t="str">
        <f t="shared" si="263"/>
        <v>NA</v>
      </c>
    </row>
    <row r="144" spans="2:63" x14ac:dyDescent="0.35">
      <c r="B144" s="123">
        <v>104</v>
      </c>
      <c r="C144" s="103" t="s">
        <v>249</v>
      </c>
      <c r="D144" s="141">
        <f>SUMIFS(TME[[#All],[Member Months]],TME[[#All],[Reporting Year]],2018,TME[[#All],[Insurance Category Code]],2,TME[[#All],[Large Provider Entity Code]],B144)</f>
        <v>0</v>
      </c>
      <c r="E144" s="152" t="str">
        <f>IFERROR(SUMIFS(TME[[#All],[Total Non-Truncated Claims Spending]],TME[[#All],[Reporting Year]],2018,TME[[#All],[Insurance Category Code]],2,TME[[#All],[Large Provider Entity Code]],B144)/D144,"NA")</f>
        <v>NA</v>
      </c>
      <c r="F144" s="152" t="str">
        <f>IFERROR(SUMIFS(TME[[#All],[Total Truncated Claims Spending]],TME[[#All],[Reporting Year]],2018,TME[[#All],[Insurance Category Code]],2,TME[[#All],[Large Provider Entity Code]],B144)/D144,"NA")</f>
        <v>NA</v>
      </c>
      <c r="G144" s="152" t="str">
        <f>IFERROR(SUMIFS(TME[[#All],[Total Non-Claims Spending]],TME[[#All],[Reporting Year]],2018,TME[[#All],[Insurance Category Code]],2,TME[[#All],[Large Provider Entity Code]],B144)/D144,"NA")</f>
        <v>NA</v>
      </c>
      <c r="H144" s="152" t="str">
        <f>IFERROR(SUMIFS(TME[[#All],[Total Non-Truncated Claims and Non-Claims Spending]],TME[[#All],[Reporting Year]],2018,TME[[#All],[Insurance Category Code]],2,TME[[#All],[Large Provider Entity Code]],B144)/D144,"NA")</f>
        <v>NA</v>
      </c>
      <c r="I144" s="152" t="str">
        <f>IFERROR(SUMIFS(TME[[#All],[Truncated Total Expenses (Total Truncated Claims Expenses + Non-Claims Expenses)]],TME[[#All],[Reporting Year]],2018,TME[[#All],[Insurance Category Code]],2,TME[[#All],[Large Provider Entity Code]],B144)/D144,"NA")</f>
        <v>NA</v>
      </c>
      <c r="J144" s="141">
        <f>SUMIFS(TME[[#All],[Member Months]],TME[[#All],[Reporting Year]],2019,TME[[#All],[Insurance Category Code]],2,TME[[#All],[Large Provider Entity Code]],B144)</f>
        <v>0</v>
      </c>
      <c r="K144" s="152" t="str">
        <f>IFERROR(SUMIFS(TME[[#All],[Total Non-Truncated Claims Spending]],TME[[#All],[Reporting Year]],2019,TME[[#All],[Insurance Category Code]],2,TME[[#All],[Large Provider Entity Code]],B144)/J144,"NA")</f>
        <v>NA</v>
      </c>
      <c r="L144" s="152" t="str">
        <f>IFERROR(SUMIFS(TME[[#All],[Total Truncated Claims Spending]],TME[[#All],[Reporting Year]],2019,TME[[#All],[Insurance Category Code]],2,TME[[#All],[Large Provider Entity Code]],B144)/J144,"NA")</f>
        <v>NA</v>
      </c>
      <c r="M144" s="152" t="str">
        <f>IFERROR(SUMIFS(TME[[#All],[Total Non-Claims Spending]],TME[[#All],[Reporting Year]],2019,TME[[#All],[Insurance Category Code]],2,TME[[#All],[Large Provider Entity Code]],B144)/J144,"NA")</f>
        <v>NA</v>
      </c>
      <c r="N144" s="152" t="str">
        <f>IFERROR(SUMIFS(TME[[#All],[Total Non-Truncated Claims and Non-Claims Spending]],TME[[#All],[Reporting Year]],2019,TME[[#All],[Insurance Category Code]],2,TME[[#All],[Large Provider Entity Code]],B144)/J144,"NA")</f>
        <v>NA</v>
      </c>
      <c r="O144" s="152" t="str">
        <f>IFERROR(SUMIFS(TME[[#All],[Truncated Total Expenses (Total Truncated Claims Expenses + Non-Claims Expenses)]],TME[[#All],[Reporting Year]],2019,TME[[#All],[Insurance Category Code]],2,TME[[#All],[Large Provider Entity Code]],B144)/J144,"NA")</f>
        <v>NA</v>
      </c>
      <c r="P144" s="154" t="str">
        <f t="shared" si="246"/>
        <v>NA</v>
      </c>
      <c r="Q144" s="154" t="str">
        <f t="shared" si="247"/>
        <v>NA</v>
      </c>
      <c r="R144" s="154" t="str">
        <f t="shared" si="248"/>
        <v>NA</v>
      </c>
      <c r="S144" s="154" t="str">
        <f t="shared" si="249"/>
        <v>NA</v>
      </c>
      <c r="T144" s="154" t="str">
        <f t="shared" si="250"/>
        <v>NA</v>
      </c>
      <c r="U144" s="154" t="str">
        <f t="shared" si="251"/>
        <v>NA</v>
      </c>
      <c r="W144" s="123">
        <v>104</v>
      </c>
      <c r="X144" s="103" t="s">
        <v>249</v>
      </c>
      <c r="Y144" s="141">
        <f>SUMIFS(TME[[#All],[Member Months]],TME[[#All],[Reporting Year]],2019,TME[[#All],[Insurance Category Code]],2,TME[[#All],[Large Provider Entity Code]],W144)</f>
        <v>0</v>
      </c>
      <c r="Z144" s="152" t="str">
        <f>IFERROR(SUMIFS(TME[[#All],[Total Non-Truncated Claims Spending]],TME[[#All],[Reporting Year]],2019,TME[[#All],[Insurance Category Code]],2,TME[[#All],[Large Provider Entity Code]],W144)/Y144,"NA")</f>
        <v>NA</v>
      </c>
      <c r="AA144" s="152" t="str">
        <f>IFERROR(SUMIFS(TME[[#All],[Total Truncated Claims Spending]],TME[[#All],[Reporting Year]],2019,TME[[#All],[Insurance Category Code]],2,TME[[#All],[Large Provider Entity Code]],W144)/Y144,"NA")</f>
        <v>NA</v>
      </c>
      <c r="AB144" s="152" t="str">
        <f>IFERROR(SUMIFS(TME[[#All],[Total Non-Claims Spending]],TME[[#All],[Reporting Year]],2019,TME[[#All],[Insurance Category Code]],2,TME[[#All],[Large Provider Entity Code]],W144)/Y144,"NA")</f>
        <v>NA</v>
      </c>
      <c r="AC144" s="152" t="str">
        <f>IFERROR(SUMIFS(TME[[#All],[Total Non-Truncated Claims and Non-Claims Spending]],TME[[#All],[Reporting Year]],2019,TME[[#All],[Insurance Category Code]],2,TME[[#All],[Large Provider Entity Code]],W144)/Y144,"NA")</f>
        <v>NA</v>
      </c>
      <c r="AD144" s="152" t="str">
        <f>IFERROR(SUMIFS(TME[[#All],[Truncated Total Expenses (Total Truncated Claims Expenses + Non-Claims Expenses)]],TME[[#All],[Reporting Year]],2019,TME[[#All],[Insurance Category Code]],2,TME[[#All],[Large Provider Entity Code]],W144)/Y144,"NA")</f>
        <v>NA</v>
      </c>
      <c r="AE144" s="141">
        <f>SUMIFS(TME[[#All],[Member Months]],TME[[#All],[Reporting Year]],2020,TME[[#All],[Insurance Category Code]],2,TME[[#All],[Large Provider Entity Code]],W144)</f>
        <v>0</v>
      </c>
      <c r="AF144" s="152" t="str">
        <f>IFERROR(SUMIFS(TME[[#All],[Total Non-Truncated Claims Spending]],TME[[#All],[Reporting Year]],2020,TME[[#All],[Insurance Category Code]],2,TME[[#All],[Large Provider Entity Code]],W144)/AE144,"NA")</f>
        <v>NA</v>
      </c>
      <c r="AG144" s="152" t="str">
        <f>IFERROR(SUMIFS(TME[[#All],[Total Truncated Claims Spending]],TME[[#All],[Reporting Year]],2020,TME[[#All],[Insurance Category Code]],2,TME[[#All],[Large Provider Entity Code]],W144)/AE144,"NA")</f>
        <v>NA</v>
      </c>
      <c r="AH144" s="152" t="str">
        <f>IFERROR(SUMIFS(TME[[#All],[Total Non-Claims Spending]],TME[[#All],[Reporting Year]],2020,TME[[#All],[Insurance Category Code]],2,TME[[#All],[Large Provider Entity Code]],W144)/AE144,"NA")</f>
        <v>NA</v>
      </c>
      <c r="AI144" s="152" t="str">
        <f>IFERROR(SUMIFS(TME[[#All],[Total Non-Truncated Claims and Non-Claims Spending]],TME[[#All],[Reporting Year]],2020,TME[[#All],[Insurance Category Code]],2,TME[[#All],[Large Provider Entity Code]],W144)/AE144,"NA")</f>
        <v>NA</v>
      </c>
      <c r="AJ144" s="152" t="str">
        <f>IFERROR(SUMIFS(TME[[#All],[Truncated Total Expenses (Total Truncated Claims Expenses + Non-Claims Expenses)]],TME[[#All],[Reporting Year]],2020,TME[[#All],[Insurance Category Code]],2,TME[[#All],[Large Provider Entity Code]],W144)/AE144,"NA")</f>
        <v>NA</v>
      </c>
      <c r="AK144" s="154" t="str">
        <f t="shared" si="252"/>
        <v>NA</v>
      </c>
      <c r="AL144" s="154" t="str">
        <f t="shared" si="253"/>
        <v>NA</v>
      </c>
      <c r="AM144" s="154" t="str">
        <f t="shared" si="254"/>
        <v>NA</v>
      </c>
      <c r="AN144" s="154" t="str">
        <f t="shared" si="255"/>
        <v>NA</v>
      </c>
      <c r="AO144" s="154" t="str">
        <f t="shared" si="256"/>
        <v>NA</v>
      </c>
      <c r="AP144" s="154" t="str">
        <f t="shared" si="257"/>
        <v>NA</v>
      </c>
      <c r="AR144" s="123">
        <v>104</v>
      </c>
      <c r="AS144" s="103" t="s">
        <v>249</v>
      </c>
      <c r="AT144" s="141">
        <f>SUMIFS(TME[[#All],[Member Months]],TME[[#All],[Reporting Year]],2020,TME[[#All],[Insurance Category Code]],2,TME[[#All],[Large Provider Entity Code]],AR144)</f>
        <v>0</v>
      </c>
      <c r="AU144" s="152" t="str">
        <f>IFERROR(SUMIFS(TME[[#All],[Total Non-Truncated Claims Spending]],TME[[#All],[Reporting Year]],2020,TME[[#All],[Insurance Category Code]],2,TME[[#All],[Large Provider Entity Code]],AR144)/AT144,"NA")</f>
        <v>NA</v>
      </c>
      <c r="AV144" s="152" t="str">
        <f>IFERROR(SUMIFS(TME[[#All],[Total Truncated Claims Spending]],TME[[#All],[Reporting Year]],2020,TME[[#All],[Insurance Category Code]],2,TME[[#All],[Large Provider Entity Code]],AR144)/AT144,"NA")</f>
        <v>NA</v>
      </c>
      <c r="AW144" s="152" t="str">
        <f>IFERROR(SUMIFS(TME[[#All],[Total Non-Claims Spending]],TME[[#All],[Reporting Year]],2020,TME[[#All],[Insurance Category Code]],2,TME[[#All],[Large Provider Entity Code]],AR144)/AT144,"NA")</f>
        <v>NA</v>
      </c>
      <c r="AX144" s="152" t="str">
        <f>IFERROR(SUMIFS(TME[[#All],[Total Non-Truncated Claims and Non-Claims Spending]],TME[[#All],[Reporting Year]],2020,TME[[#All],[Insurance Category Code]],2,TME[[#All],[Large Provider Entity Code]],AR144)/AT144,"NA")</f>
        <v>NA</v>
      </c>
      <c r="AY144" s="152" t="str">
        <f>IFERROR(SUMIFS(TME[[#All],[Truncated Total Expenses (Total Truncated Claims Expenses + Non-Claims Expenses)]],TME[[#All],[Reporting Year]],2020,TME[[#All],[Insurance Category Code]],2,TME[[#All],[Large Provider Entity Code]],AR144)/AT144,"NA")</f>
        <v>NA</v>
      </c>
      <c r="AZ144" s="141">
        <f>SUMIFS(TME[[#All],[Member Months]],TME[[#All],[Reporting Year]],2021,TME[[#All],[Insurance Category Code]],2,TME[[#All],[Large Provider Entity Code]],AR144)</f>
        <v>0</v>
      </c>
      <c r="BA144" s="152" t="str">
        <f>IFERROR(SUMIFS(TME[[#All],[Total Non-Truncated Claims Spending]],TME[[#All],[Reporting Year]],2021,TME[[#All],[Insurance Category Code]],2,TME[[#All],[Large Provider Entity Code]],AR144)/AZ144,"NA")</f>
        <v>NA</v>
      </c>
      <c r="BB144" s="152" t="str">
        <f>IFERROR(SUMIFS(TME[[#All],[Total Truncated Claims Spending]],TME[[#All],[Reporting Year]],2021,TME[[#All],[Insurance Category Code]],2,TME[[#All],[Large Provider Entity Code]],AR144)/AZ144,"NA")</f>
        <v>NA</v>
      </c>
      <c r="BC144" s="152" t="str">
        <f>IFERROR(SUMIFS(TME[[#All],[Total Non-Claims Spending]],TME[[#All],[Reporting Year]],2021,TME[[#All],[Insurance Category Code]],2,TME[[#All],[Large Provider Entity Code]],AR144)/AZ144,"NA")</f>
        <v>NA</v>
      </c>
      <c r="BD144" s="152" t="str">
        <f>IFERROR(SUMIFS(TME[[#All],[Total Non-Truncated Claims and Non-Claims Spending]],TME[[#All],[Reporting Year]],2021,TME[[#All],[Insurance Category Code]],2,TME[[#All],[Large Provider Entity Code]],AR144)/AZ144,"NA")</f>
        <v>NA</v>
      </c>
      <c r="BE144" s="152" t="str">
        <f>IFERROR(SUMIFS(TME[[#All],[Truncated Total Expenses (Total Truncated Claims Expenses + Non-Claims Expenses)]],TME[[#All],[Reporting Year]],2021,TME[[#All],[Insurance Category Code]],2,TME[[#All],[Large Provider Entity Code]],AR144)/AZ144,"NA")</f>
        <v>NA</v>
      </c>
      <c r="BF144" s="154" t="str">
        <f t="shared" si="258"/>
        <v>NA</v>
      </c>
      <c r="BG144" s="154" t="str">
        <f t="shared" si="259"/>
        <v>NA</v>
      </c>
      <c r="BH144" s="154" t="str">
        <f t="shared" si="260"/>
        <v>NA</v>
      </c>
      <c r="BI144" s="154" t="str">
        <f t="shared" si="261"/>
        <v>NA</v>
      </c>
      <c r="BJ144" s="154" t="str">
        <f t="shared" si="262"/>
        <v>NA</v>
      </c>
      <c r="BK144" s="154" t="str">
        <f t="shared" si="263"/>
        <v>NA</v>
      </c>
    </row>
    <row r="145" spans="2:63" x14ac:dyDescent="0.35">
      <c r="B145" s="123">
        <v>105</v>
      </c>
      <c r="C145" s="103" t="s">
        <v>293</v>
      </c>
      <c r="D145" s="141">
        <f>SUMIFS(TME[[#All],[Member Months]],TME[[#All],[Reporting Year]],2018,TME[[#All],[Insurance Category Code]],2,TME[[#All],[Large Provider Entity Code]],B145)</f>
        <v>0</v>
      </c>
      <c r="E145" s="152" t="str">
        <f>IFERROR(SUMIFS(TME[[#All],[Total Non-Truncated Claims Spending]],TME[[#All],[Reporting Year]],2018,TME[[#All],[Insurance Category Code]],2,TME[[#All],[Large Provider Entity Code]],B145)/D145,"NA")</f>
        <v>NA</v>
      </c>
      <c r="F145" s="152" t="str">
        <f>IFERROR(SUMIFS(TME[[#All],[Total Truncated Claims Spending]],TME[[#All],[Reporting Year]],2018,TME[[#All],[Insurance Category Code]],2,TME[[#All],[Large Provider Entity Code]],B145)/D145,"NA")</f>
        <v>NA</v>
      </c>
      <c r="G145" s="152" t="str">
        <f>IFERROR(SUMIFS(TME[[#All],[Total Non-Claims Spending]],TME[[#All],[Reporting Year]],2018,TME[[#All],[Insurance Category Code]],2,TME[[#All],[Large Provider Entity Code]],B145)/D145,"NA")</f>
        <v>NA</v>
      </c>
      <c r="H145" s="152" t="str">
        <f>IFERROR(SUMIFS(TME[[#All],[Total Non-Truncated Claims and Non-Claims Spending]],TME[[#All],[Reporting Year]],2018,TME[[#All],[Insurance Category Code]],2,TME[[#All],[Large Provider Entity Code]],B145)/D145,"NA")</f>
        <v>NA</v>
      </c>
      <c r="I145" s="152" t="str">
        <f>IFERROR(SUMIFS(TME[[#All],[Truncated Total Expenses (Total Truncated Claims Expenses + Non-Claims Expenses)]],TME[[#All],[Reporting Year]],2018,TME[[#All],[Insurance Category Code]],2,TME[[#All],[Large Provider Entity Code]],B145)/D145,"NA")</f>
        <v>NA</v>
      </c>
      <c r="J145" s="141">
        <f>SUMIFS(TME[[#All],[Member Months]],TME[[#All],[Reporting Year]],2019,TME[[#All],[Insurance Category Code]],2,TME[[#All],[Large Provider Entity Code]],B145)</f>
        <v>0</v>
      </c>
      <c r="K145" s="152" t="str">
        <f>IFERROR(SUMIFS(TME[[#All],[Total Non-Truncated Claims Spending]],TME[[#All],[Reporting Year]],2019,TME[[#All],[Insurance Category Code]],2,TME[[#All],[Large Provider Entity Code]],B145)/J145,"NA")</f>
        <v>NA</v>
      </c>
      <c r="L145" s="152" t="str">
        <f>IFERROR(SUMIFS(TME[[#All],[Total Truncated Claims Spending]],TME[[#All],[Reporting Year]],2019,TME[[#All],[Insurance Category Code]],2,TME[[#All],[Large Provider Entity Code]],B145)/J145,"NA")</f>
        <v>NA</v>
      </c>
      <c r="M145" s="152" t="str">
        <f>IFERROR(SUMIFS(TME[[#All],[Total Non-Claims Spending]],TME[[#All],[Reporting Year]],2019,TME[[#All],[Insurance Category Code]],2,TME[[#All],[Large Provider Entity Code]],B145)/J145,"NA")</f>
        <v>NA</v>
      </c>
      <c r="N145" s="152" t="str">
        <f>IFERROR(SUMIFS(TME[[#All],[Total Non-Truncated Claims and Non-Claims Spending]],TME[[#All],[Reporting Year]],2019,TME[[#All],[Insurance Category Code]],2,TME[[#All],[Large Provider Entity Code]],B145)/J145,"NA")</f>
        <v>NA</v>
      </c>
      <c r="O145" s="152" t="str">
        <f>IFERROR(SUMIFS(TME[[#All],[Truncated Total Expenses (Total Truncated Claims Expenses + Non-Claims Expenses)]],TME[[#All],[Reporting Year]],2019,TME[[#All],[Insurance Category Code]],2,TME[[#All],[Large Provider Entity Code]],B145)/J145,"NA")</f>
        <v>NA</v>
      </c>
      <c r="P145" s="154" t="str">
        <f t="shared" si="246"/>
        <v>NA</v>
      </c>
      <c r="Q145" s="154" t="str">
        <f t="shared" si="247"/>
        <v>NA</v>
      </c>
      <c r="R145" s="154" t="str">
        <f t="shared" si="248"/>
        <v>NA</v>
      </c>
      <c r="S145" s="154" t="str">
        <f t="shared" si="249"/>
        <v>NA</v>
      </c>
      <c r="T145" s="154" t="str">
        <f t="shared" si="250"/>
        <v>NA</v>
      </c>
      <c r="U145" s="154" t="str">
        <f t="shared" si="251"/>
        <v>NA</v>
      </c>
      <c r="W145" s="123">
        <v>105</v>
      </c>
      <c r="X145" s="103" t="s">
        <v>293</v>
      </c>
      <c r="Y145" s="141">
        <f>SUMIFS(TME[[#All],[Member Months]],TME[[#All],[Reporting Year]],2019,TME[[#All],[Insurance Category Code]],2,TME[[#All],[Large Provider Entity Code]],W145)</f>
        <v>0</v>
      </c>
      <c r="Z145" s="152" t="str">
        <f>IFERROR(SUMIFS(TME[[#All],[Total Non-Truncated Claims Spending]],TME[[#All],[Reporting Year]],2019,TME[[#All],[Insurance Category Code]],2,TME[[#All],[Large Provider Entity Code]],W145)/Y145,"NA")</f>
        <v>NA</v>
      </c>
      <c r="AA145" s="152" t="str">
        <f>IFERROR(SUMIFS(TME[[#All],[Total Truncated Claims Spending]],TME[[#All],[Reporting Year]],2019,TME[[#All],[Insurance Category Code]],2,TME[[#All],[Large Provider Entity Code]],W145)/Y145,"NA")</f>
        <v>NA</v>
      </c>
      <c r="AB145" s="152" t="str">
        <f>IFERROR(SUMIFS(TME[[#All],[Total Non-Claims Spending]],TME[[#All],[Reporting Year]],2019,TME[[#All],[Insurance Category Code]],2,TME[[#All],[Large Provider Entity Code]],W145)/Y145,"NA")</f>
        <v>NA</v>
      </c>
      <c r="AC145" s="152" t="str">
        <f>IFERROR(SUMIFS(TME[[#All],[Total Non-Truncated Claims and Non-Claims Spending]],TME[[#All],[Reporting Year]],2019,TME[[#All],[Insurance Category Code]],2,TME[[#All],[Large Provider Entity Code]],W145)/Y145,"NA")</f>
        <v>NA</v>
      </c>
      <c r="AD145" s="152" t="str">
        <f>IFERROR(SUMIFS(TME[[#All],[Truncated Total Expenses (Total Truncated Claims Expenses + Non-Claims Expenses)]],TME[[#All],[Reporting Year]],2019,TME[[#All],[Insurance Category Code]],2,TME[[#All],[Large Provider Entity Code]],W145)/Y145,"NA")</f>
        <v>NA</v>
      </c>
      <c r="AE145" s="141">
        <f>SUMIFS(TME[[#All],[Member Months]],TME[[#All],[Reporting Year]],2020,TME[[#All],[Insurance Category Code]],2,TME[[#All],[Large Provider Entity Code]],W145)</f>
        <v>0</v>
      </c>
      <c r="AF145" s="152" t="str">
        <f>IFERROR(SUMIFS(TME[[#All],[Total Non-Truncated Claims Spending]],TME[[#All],[Reporting Year]],2020,TME[[#All],[Insurance Category Code]],2,TME[[#All],[Large Provider Entity Code]],W145)/AE145,"NA")</f>
        <v>NA</v>
      </c>
      <c r="AG145" s="152" t="str">
        <f>IFERROR(SUMIFS(TME[[#All],[Total Truncated Claims Spending]],TME[[#All],[Reporting Year]],2020,TME[[#All],[Insurance Category Code]],2,TME[[#All],[Large Provider Entity Code]],W145)/AE145,"NA")</f>
        <v>NA</v>
      </c>
      <c r="AH145" s="152" t="str">
        <f>IFERROR(SUMIFS(TME[[#All],[Total Non-Claims Spending]],TME[[#All],[Reporting Year]],2020,TME[[#All],[Insurance Category Code]],2,TME[[#All],[Large Provider Entity Code]],W145)/AE145,"NA")</f>
        <v>NA</v>
      </c>
      <c r="AI145" s="152" t="str">
        <f>IFERROR(SUMIFS(TME[[#All],[Total Non-Truncated Claims and Non-Claims Spending]],TME[[#All],[Reporting Year]],2020,TME[[#All],[Insurance Category Code]],2,TME[[#All],[Large Provider Entity Code]],W145)/AE145,"NA")</f>
        <v>NA</v>
      </c>
      <c r="AJ145" s="152" t="str">
        <f>IFERROR(SUMIFS(TME[[#All],[Truncated Total Expenses (Total Truncated Claims Expenses + Non-Claims Expenses)]],TME[[#All],[Reporting Year]],2020,TME[[#All],[Insurance Category Code]],2,TME[[#All],[Large Provider Entity Code]],W145)/AE145,"NA")</f>
        <v>NA</v>
      </c>
      <c r="AK145" s="154" t="str">
        <f t="shared" si="252"/>
        <v>NA</v>
      </c>
      <c r="AL145" s="154" t="str">
        <f t="shared" si="253"/>
        <v>NA</v>
      </c>
      <c r="AM145" s="154" t="str">
        <f t="shared" si="254"/>
        <v>NA</v>
      </c>
      <c r="AN145" s="154" t="str">
        <f t="shared" si="255"/>
        <v>NA</v>
      </c>
      <c r="AO145" s="154" t="str">
        <f t="shared" si="256"/>
        <v>NA</v>
      </c>
      <c r="AP145" s="154" t="str">
        <f t="shared" si="257"/>
        <v>NA</v>
      </c>
      <c r="AR145" s="123">
        <v>105</v>
      </c>
      <c r="AS145" s="103" t="s">
        <v>293</v>
      </c>
      <c r="AT145" s="141">
        <f>SUMIFS(TME[[#All],[Member Months]],TME[[#All],[Reporting Year]],2020,TME[[#All],[Insurance Category Code]],2,TME[[#All],[Large Provider Entity Code]],AR145)</f>
        <v>0</v>
      </c>
      <c r="AU145" s="152" t="str">
        <f>IFERROR(SUMIFS(TME[[#All],[Total Non-Truncated Claims Spending]],TME[[#All],[Reporting Year]],2020,TME[[#All],[Insurance Category Code]],2,TME[[#All],[Large Provider Entity Code]],AR145)/AT145,"NA")</f>
        <v>NA</v>
      </c>
      <c r="AV145" s="152" t="str">
        <f>IFERROR(SUMIFS(TME[[#All],[Total Truncated Claims Spending]],TME[[#All],[Reporting Year]],2020,TME[[#All],[Insurance Category Code]],2,TME[[#All],[Large Provider Entity Code]],AR145)/AT145,"NA")</f>
        <v>NA</v>
      </c>
      <c r="AW145" s="152" t="str">
        <f>IFERROR(SUMIFS(TME[[#All],[Total Non-Claims Spending]],TME[[#All],[Reporting Year]],2020,TME[[#All],[Insurance Category Code]],2,TME[[#All],[Large Provider Entity Code]],AR145)/AT145,"NA")</f>
        <v>NA</v>
      </c>
      <c r="AX145" s="152" t="str">
        <f>IFERROR(SUMIFS(TME[[#All],[Total Non-Truncated Claims and Non-Claims Spending]],TME[[#All],[Reporting Year]],2020,TME[[#All],[Insurance Category Code]],2,TME[[#All],[Large Provider Entity Code]],AR145)/AT145,"NA")</f>
        <v>NA</v>
      </c>
      <c r="AY145" s="152" t="str">
        <f>IFERROR(SUMIFS(TME[[#All],[Truncated Total Expenses (Total Truncated Claims Expenses + Non-Claims Expenses)]],TME[[#All],[Reporting Year]],2020,TME[[#All],[Insurance Category Code]],2,TME[[#All],[Large Provider Entity Code]],AR145)/AT145,"NA")</f>
        <v>NA</v>
      </c>
      <c r="AZ145" s="141">
        <f>SUMIFS(TME[[#All],[Member Months]],TME[[#All],[Reporting Year]],2021,TME[[#All],[Insurance Category Code]],2,TME[[#All],[Large Provider Entity Code]],AR145)</f>
        <v>0</v>
      </c>
      <c r="BA145" s="152" t="str">
        <f>IFERROR(SUMIFS(TME[[#All],[Total Non-Truncated Claims Spending]],TME[[#All],[Reporting Year]],2021,TME[[#All],[Insurance Category Code]],2,TME[[#All],[Large Provider Entity Code]],AR145)/AZ145,"NA")</f>
        <v>NA</v>
      </c>
      <c r="BB145" s="152" t="str">
        <f>IFERROR(SUMIFS(TME[[#All],[Total Truncated Claims Spending]],TME[[#All],[Reporting Year]],2021,TME[[#All],[Insurance Category Code]],2,TME[[#All],[Large Provider Entity Code]],AR145)/AZ145,"NA")</f>
        <v>NA</v>
      </c>
      <c r="BC145" s="152" t="str">
        <f>IFERROR(SUMIFS(TME[[#All],[Total Non-Claims Spending]],TME[[#All],[Reporting Year]],2021,TME[[#All],[Insurance Category Code]],2,TME[[#All],[Large Provider Entity Code]],AR145)/AZ145,"NA")</f>
        <v>NA</v>
      </c>
      <c r="BD145" s="152" t="str">
        <f>IFERROR(SUMIFS(TME[[#All],[Total Non-Truncated Claims and Non-Claims Spending]],TME[[#All],[Reporting Year]],2021,TME[[#All],[Insurance Category Code]],2,TME[[#All],[Large Provider Entity Code]],AR145)/AZ145,"NA")</f>
        <v>NA</v>
      </c>
      <c r="BE145" s="152" t="str">
        <f>IFERROR(SUMIFS(TME[[#All],[Truncated Total Expenses (Total Truncated Claims Expenses + Non-Claims Expenses)]],TME[[#All],[Reporting Year]],2021,TME[[#All],[Insurance Category Code]],2,TME[[#All],[Large Provider Entity Code]],AR145)/AZ145,"NA")</f>
        <v>NA</v>
      </c>
      <c r="BF145" s="154" t="str">
        <f t="shared" si="258"/>
        <v>NA</v>
      </c>
      <c r="BG145" s="154" t="str">
        <f t="shared" si="259"/>
        <v>NA</v>
      </c>
      <c r="BH145" s="154" t="str">
        <f t="shared" si="260"/>
        <v>NA</v>
      </c>
      <c r="BI145" s="154" t="str">
        <f t="shared" si="261"/>
        <v>NA</v>
      </c>
      <c r="BJ145" s="154" t="str">
        <f t="shared" si="262"/>
        <v>NA</v>
      </c>
      <c r="BK145" s="154" t="str">
        <f t="shared" si="263"/>
        <v>NA</v>
      </c>
    </row>
    <row r="146" spans="2:63" x14ac:dyDescent="0.35">
      <c r="B146" s="123">
        <v>106</v>
      </c>
      <c r="C146" s="103" t="s">
        <v>250</v>
      </c>
      <c r="D146" s="141">
        <f>SUMIFS(TME[[#All],[Member Months]],TME[[#All],[Reporting Year]],2018,TME[[#All],[Insurance Category Code]],2,TME[[#All],[Large Provider Entity Code]],B146)</f>
        <v>0</v>
      </c>
      <c r="E146" s="152" t="str">
        <f>IFERROR(SUMIFS(TME[[#All],[Total Non-Truncated Claims Spending]],TME[[#All],[Reporting Year]],2018,TME[[#All],[Insurance Category Code]],2,TME[[#All],[Large Provider Entity Code]],B146)/D146,"NA")</f>
        <v>NA</v>
      </c>
      <c r="F146" s="152" t="str">
        <f>IFERROR(SUMIFS(TME[[#All],[Total Truncated Claims Spending]],TME[[#All],[Reporting Year]],2018,TME[[#All],[Insurance Category Code]],2,TME[[#All],[Large Provider Entity Code]],B146)/D146,"NA")</f>
        <v>NA</v>
      </c>
      <c r="G146" s="152" t="str">
        <f>IFERROR(SUMIFS(TME[[#All],[Total Non-Claims Spending]],TME[[#All],[Reporting Year]],2018,TME[[#All],[Insurance Category Code]],2,TME[[#All],[Large Provider Entity Code]],B146)/D146,"NA")</f>
        <v>NA</v>
      </c>
      <c r="H146" s="152" t="str">
        <f>IFERROR(SUMIFS(TME[[#All],[Total Non-Truncated Claims and Non-Claims Spending]],TME[[#All],[Reporting Year]],2018,TME[[#All],[Insurance Category Code]],2,TME[[#All],[Large Provider Entity Code]],B146)/D146,"NA")</f>
        <v>NA</v>
      </c>
      <c r="I146" s="152" t="str">
        <f>IFERROR(SUMIFS(TME[[#All],[Truncated Total Expenses (Total Truncated Claims Expenses + Non-Claims Expenses)]],TME[[#All],[Reporting Year]],2018,TME[[#All],[Insurance Category Code]],2,TME[[#All],[Large Provider Entity Code]],B146)/D146,"NA")</f>
        <v>NA</v>
      </c>
      <c r="J146" s="141">
        <f>SUMIFS(TME[[#All],[Member Months]],TME[[#All],[Reporting Year]],2019,TME[[#All],[Insurance Category Code]],2,TME[[#All],[Large Provider Entity Code]],B146)</f>
        <v>0</v>
      </c>
      <c r="K146" s="152" t="str">
        <f>IFERROR(SUMIFS(TME[[#All],[Total Non-Truncated Claims Spending]],TME[[#All],[Reporting Year]],2019,TME[[#All],[Insurance Category Code]],2,TME[[#All],[Large Provider Entity Code]],B146)/J146,"NA")</f>
        <v>NA</v>
      </c>
      <c r="L146" s="152" t="str">
        <f>IFERROR(SUMIFS(TME[[#All],[Total Truncated Claims Spending]],TME[[#All],[Reporting Year]],2019,TME[[#All],[Insurance Category Code]],2,TME[[#All],[Large Provider Entity Code]],B146)/J146,"NA")</f>
        <v>NA</v>
      </c>
      <c r="M146" s="152" t="str">
        <f>IFERROR(SUMIFS(TME[[#All],[Total Non-Claims Spending]],TME[[#All],[Reporting Year]],2019,TME[[#All],[Insurance Category Code]],2,TME[[#All],[Large Provider Entity Code]],B146)/J146,"NA")</f>
        <v>NA</v>
      </c>
      <c r="N146" s="152" t="str">
        <f>IFERROR(SUMIFS(TME[[#All],[Total Non-Truncated Claims and Non-Claims Spending]],TME[[#All],[Reporting Year]],2019,TME[[#All],[Insurance Category Code]],2,TME[[#All],[Large Provider Entity Code]],B146)/J146,"NA")</f>
        <v>NA</v>
      </c>
      <c r="O146" s="152" t="str">
        <f>IFERROR(SUMIFS(TME[[#All],[Truncated Total Expenses (Total Truncated Claims Expenses + Non-Claims Expenses)]],TME[[#All],[Reporting Year]],2019,TME[[#All],[Insurance Category Code]],2,TME[[#All],[Large Provider Entity Code]],B146)/J146,"NA")</f>
        <v>NA</v>
      </c>
      <c r="P146" s="154" t="str">
        <f t="shared" si="246"/>
        <v>NA</v>
      </c>
      <c r="Q146" s="154" t="str">
        <f t="shared" si="247"/>
        <v>NA</v>
      </c>
      <c r="R146" s="154" t="str">
        <f t="shared" si="248"/>
        <v>NA</v>
      </c>
      <c r="S146" s="154" t="str">
        <f t="shared" si="249"/>
        <v>NA</v>
      </c>
      <c r="T146" s="154" t="str">
        <f t="shared" si="250"/>
        <v>NA</v>
      </c>
      <c r="U146" s="154" t="str">
        <f t="shared" si="251"/>
        <v>NA</v>
      </c>
      <c r="W146" s="123">
        <v>106</v>
      </c>
      <c r="X146" s="103" t="s">
        <v>250</v>
      </c>
      <c r="Y146" s="141">
        <f>SUMIFS(TME[[#All],[Member Months]],TME[[#All],[Reporting Year]],2019,TME[[#All],[Insurance Category Code]],2,TME[[#All],[Large Provider Entity Code]],W146)</f>
        <v>0</v>
      </c>
      <c r="Z146" s="152" t="str">
        <f>IFERROR(SUMIFS(TME[[#All],[Total Non-Truncated Claims Spending]],TME[[#All],[Reporting Year]],2019,TME[[#All],[Insurance Category Code]],2,TME[[#All],[Large Provider Entity Code]],W146)/Y146,"NA")</f>
        <v>NA</v>
      </c>
      <c r="AA146" s="152" t="str">
        <f>IFERROR(SUMIFS(TME[[#All],[Total Truncated Claims Spending]],TME[[#All],[Reporting Year]],2019,TME[[#All],[Insurance Category Code]],2,TME[[#All],[Large Provider Entity Code]],W146)/Y146,"NA")</f>
        <v>NA</v>
      </c>
      <c r="AB146" s="152" t="str">
        <f>IFERROR(SUMIFS(TME[[#All],[Total Non-Claims Spending]],TME[[#All],[Reporting Year]],2019,TME[[#All],[Insurance Category Code]],2,TME[[#All],[Large Provider Entity Code]],W146)/Y146,"NA")</f>
        <v>NA</v>
      </c>
      <c r="AC146" s="152" t="str">
        <f>IFERROR(SUMIFS(TME[[#All],[Total Non-Truncated Claims and Non-Claims Spending]],TME[[#All],[Reporting Year]],2019,TME[[#All],[Insurance Category Code]],2,TME[[#All],[Large Provider Entity Code]],W146)/Y146,"NA")</f>
        <v>NA</v>
      </c>
      <c r="AD146" s="152" t="str">
        <f>IFERROR(SUMIFS(TME[[#All],[Truncated Total Expenses (Total Truncated Claims Expenses + Non-Claims Expenses)]],TME[[#All],[Reporting Year]],2019,TME[[#All],[Insurance Category Code]],2,TME[[#All],[Large Provider Entity Code]],W146)/Y146,"NA")</f>
        <v>NA</v>
      </c>
      <c r="AE146" s="141">
        <f>SUMIFS(TME[[#All],[Member Months]],TME[[#All],[Reporting Year]],2020,TME[[#All],[Insurance Category Code]],2,TME[[#All],[Large Provider Entity Code]],W146)</f>
        <v>0</v>
      </c>
      <c r="AF146" s="152" t="str">
        <f>IFERROR(SUMIFS(TME[[#All],[Total Non-Truncated Claims Spending]],TME[[#All],[Reporting Year]],2020,TME[[#All],[Insurance Category Code]],2,TME[[#All],[Large Provider Entity Code]],W146)/AE146,"NA")</f>
        <v>NA</v>
      </c>
      <c r="AG146" s="152" t="str">
        <f>IFERROR(SUMIFS(TME[[#All],[Total Truncated Claims Spending]],TME[[#All],[Reporting Year]],2020,TME[[#All],[Insurance Category Code]],2,TME[[#All],[Large Provider Entity Code]],W146)/AE146,"NA")</f>
        <v>NA</v>
      </c>
      <c r="AH146" s="152" t="str">
        <f>IFERROR(SUMIFS(TME[[#All],[Total Non-Claims Spending]],TME[[#All],[Reporting Year]],2020,TME[[#All],[Insurance Category Code]],2,TME[[#All],[Large Provider Entity Code]],W146)/AE146,"NA")</f>
        <v>NA</v>
      </c>
      <c r="AI146" s="152" t="str">
        <f>IFERROR(SUMIFS(TME[[#All],[Total Non-Truncated Claims and Non-Claims Spending]],TME[[#All],[Reporting Year]],2020,TME[[#All],[Insurance Category Code]],2,TME[[#All],[Large Provider Entity Code]],W146)/AE146,"NA")</f>
        <v>NA</v>
      </c>
      <c r="AJ146" s="152" t="str">
        <f>IFERROR(SUMIFS(TME[[#All],[Truncated Total Expenses (Total Truncated Claims Expenses + Non-Claims Expenses)]],TME[[#All],[Reporting Year]],2020,TME[[#All],[Insurance Category Code]],2,TME[[#All],[Large Provider Entity Code]],W146)/AE146,"NA")</f>
        <v>NA</v>
      </c>
      <c r="AK146" s="154" t="str">
        <f t="shared" si="252"/>
        <v>NA</v>
      </c>
      <c r="AL146" s="154" t="str">
        <f t="shared" si="253"/>
        <v>NA</v>
      </c>
      <c r="AM146" s="154" t="str">
        <f t="shared" si="254"/>
        <v>NA</v>
      </c>
      <c r="AN146" s="154" t="str">
        <f t="shared" si="255"/>
        <v>NA</v>
      </c>
      <c r="AO146" s="154" t="str">
        <f t="shared" si="256"/>
        <v>NA</v>
      </c>
      <c r="AP146" s="154" t="str">
        <f t="shared" si="257"/>
        <v>NA</v>
      </c>
      <c r="AR146" s="123">
        <v>106</v>
      </c>
      <c r="AS146" s="103" t="s">
        <v>250</v>
      </c>
      <c r="AT146" s="141">
        <f>SUMIFS(TME[[#All],[Member Months]],TME[[#All],[Reporting Year]],2020,TME[[#All],[Insurance Category Code]],2,TME[[#All],[Large Provider Entity Code]],AR146)</f>
        <v>0</v>
      </c>
      <c r="AU146" s="152" t="str">
        <f>IFERROR(SUMIFS(TME[[#All],[Total Non-Truncated Claims Spending]],TME[[#All],[Reporting Year]],2020,TME[[#All],[Insurance Category Code]],2,TME[[#All],[Large Provider Entity Code]],AR146)/AT146,"NA")</f>
        <v>NA</v>
      </c>
      <c r="AV146" s="152" t="str">
        <f>IFERROR(SUMIFS(TME[[#All],[Total Truncated Claims Spending]],TME[[#All],[Reporting Year]],2020,TME[[#All],[Insurance Category Code]],2,TME[[#All],[Large Provider Entity Code]],AR146)/AT146,"NA")</f>
        <v>NA</v>
      </c>
      <c r="AW146" s="152" t="str">
        <f>IFERROR(SUMIFS(TME[[#All],[Total Non-Claims Spending]],TME[[#All],[Reporting Year]],2020,TME[[#All],[Insurance Category Code]],2,TME[[#All],[Large Provider Entity Code]],AR146)/AT146,"NA")</f>
        <v>NA</v>
      </c>
      <c r="AX146" s="152" t="str">
        <f>IFERROR(SUMIFS(TME[[#All],[Total Non-Truncated Claims and Non-Claims Spending]],TME[[#All],[Reporting Year]],2020,TME[[#All],[Insurance Category Code]],2,TME[[#All],[Large Provider Entity Code]],AR146)/AT146,"NA")</f>
        <v>NA</v>
      </c>
      <c r="AY146" s="152" t="str">
        <f>IFERROR(SUMIFS(TME[[#All],[Truncated Total Expenses (Total Truncated Claims Expenses + Non-Claims Expenses)]],TME[[#All],[Reporting Year]],2020,TME[[#All],[Insurance Category Code]],2,TME[[#All],[Large Provider Entity Code]],AR146)/AT146,"NA")</f>
        <v>NA</v>
      </c>
      <c r="AZ146" s="141">
        <f>SUMIFS(TME[[#All],[Member Months]],TME[[#All],[Reporting Year]],2021,TME[[#All],[Insurance Category Code]],2,TME[[#All],[Large Provider Entity Code]],AR146)</f>
        <v>0</v>
      </c>
      <c r="BA146" s="152" t="str">
        <f>IFERROR(SUMIFS(TME[[#All],[Total Non-Truncated Claims Spending]],TME[[#All],[Reporting Year]],2021,TME[[#All],[Insurance Category Code]],2,TME[[#All],[Large Provider Entity Code]],AR146)/AZ146,"NA")</f>
        <v>NA</v>
      </c>
      <c r="BB146" s="152" t="str">
        <f>IFERROR(SUMIFS(TME[[#All],[Total Truncated Claims Spending]],TME[[#All],[Reporting Year]],2021,TME[[#All],[Insurance Category Code]],2,TME[[#All],[Large Provider Entity Code]],AR146)/AZ146,"NA")</f>
        <v>NA</v>
      </c>
      <c r="BC146" s="152" t="str">
        <f>IFERROR(SUMIFS(TME[[#All],[Total Non-Claims Spending]],TME[[#All],[Reporting Year]],2021,TME[[#All],[Insurance Category Code]],2,TME[[#All],[Large Provider Entity Code]],AR146)/AZ146,"NA")</f>
        <v>NA</v>
      </c>
      <c r="BD146" s="152" t="str">
        <f>IFERROR(SUMIFS(TME[[#All],[Total Non-Truncated Claims and Non-Claims Spending]],TME[[#All],[Reporting Year]],2021,TME[[#All],[Insurance Category Code]],2,TME[[#All],[Large Provider Entity Code]],AR146)/AZ146,"NA")</f>
        <v>NA</v>
      </c>
      <c r="BE146" s="152" t="str">
        <f>IFERROR(SUMIFS(TME[[#All],[Truncated Total Expenses (Total Truncated Claims Expenses + Non-Claims Expenses)]],TME[[#All],[Reporting Year]],2021,TME[[#All],[Insurance Category Code]],2,TME[[#All],[Large Provider Entity Code]],AR146)/AZ146,"NA")</f>
        <v>NA</v>
      </c>
      <c r="BF146" s="154" t="str">
        <f t="shared" si="258"/>
        <v>NA</v>
      </c>
      <c r="BG146" s="154" t="str">
        <f t="shared" si="259"/>
        <v>NA</v>
      </c>
      <c r="BH146" s="154" t="str">
        <f t="shared" si="260"/>
        <v>NA</v>
      </c>
      <c r="BI146" s="154" t="str">
        <f t="shared" si="261"/>
        <v>NA</v>
      </c>
      <c r="BJ146" s="154" t="str">
        <f t="shared" si="262"/>
        <v>NA</v>
      </c>
      <c r="BK146" s="154" t="str">
        <f t="shared" si="263"/>
        <v>NA</v>
      </c>
    </row>
    <row r="147" spans="2:63" x14ac:dyDescent="0.35">
      <c r="B147" s="123">
        <v>107</v>
      </c>
      <c r="C147" s="103" t="s">
        <v>251</v>
      </c>
      <c r="D147" s="141">
        <f>SUMIFS(TME[[#All],[Member Months]],TME[[#All],[Reporting Year]],2018,TME[[#All],[Insurance Category Code]],2,TME[[#All],[Large Provider Entity Code]],B147)</f>
        <v>0</v>
      </c>
      <c r="E147" s="152" t="str">
        <f>IFERROR(SUMIFS(TME[[#All],[Total Non-Truncated Claims Spending]],TME[[#All],[Reporting Year]],2018,TME[[#All],[Insurance Category Code]],2,TME[[#All],[Large Provider Entity Code]],B147)/D147,"NA")</f>
        <v>NA</v>
      </c>
      <c r="F147" s="152" t="str">
        <f>IFERROR(SUMIFS(TME[[#All],[Total Truncated Claims Spending]],TME[[#All],[Reporting Year]],2018,TME[[#All],[Insurance Category Code]],2,TME[[#All],[Large Provider Entity Code]],B147)/D147,"NA")</f>
        <v>NA</v>
      </c>
      <c r="G147" s="152" t="str">
        <f>IFERROR(SUMIFS(TME[[#All],[Total Non-Claims Spending]],TME[[#All],[Reporting Year]],2018,TME[[#All],[Insurance Category Code]],2,TME[[#All],[Large Provider Entity Code]],B147)/D147,"NA")</f>
        <v>NA</v>
      </c>
      <c r="H147" s="152" t="str">
        <f>IFERROR(SUMIFS(TME[[#All],[Total Non-Truncated Claims and Non-Claims Spending]],TME[[#All],[Reporting Year]],2018,TME[[#All],[Insurance Category Code]],2,TME[[#All],[Large Provider Entity Code]],B147)/D147,"NA")</f>
        <v>NA</v>
      </c>
      <c r="I147" s="152" t="str">
        <f>IFERROR(SUMIFS(TME[[#All],[Truncated Total Expenses (Total Truncated Claims Expenses + Non-Claims Expenses)]],TME[[#All],[Reporting Year]],2018,TME[[#All],[Insurance Category Code]],2,TME[[#All],[Large Provider Entity Code]],B147)/D147,"NA")</f>
        <v>NA</v>
      </c>
      <c r="J147" s="141">
        <f>SUMIFS(TME[[#All],[Member Months]],TME[[#All],[Reporting Year]],2019,TME[[#All],[Insurance Category Code]],2,TME[[#All],[Large Provider Entity Code]],B147)</f>
        <v>0</v>
      </c>
      <c r="K147" s="152" t="str">
        <f>IFERROR(SUMIFS(TME[[#All],[Total Non-Truncated Claims Spending]],TME[[#All],[Reporting Year]],2019,TME[[#All],[Insurance Category Code]],2,TME[[#All],[Large Provider Entity Code]],B147)/J147,"NA")</f>
        <v>NA</v>
      </c>
      <c r="L147" s="152" t="str">
        <f>IFERROR(SUMIFS(TME[[#All],[Total Truncated Claims Spending]],TME[[#All],[Reporting Year]],2019,TME[[#All],[Insurance Category Code]],2,TME[[#All],[Large Provider Entity Code]],B147)/J147,"NA")</f>
        <v>NA</v>
      </c>
      <c r="M147" s="152" t="str">
        <f>IFERROR(SUMIFS(TME[[#All],[Total Non-Claims Spending]],TME[[#All],[Reporting Year]],2019,TME[[#All],[Insurance Category Code]],2,TME[[#All],[Large Provider Entity Code]],B147)/J147,"NA")</f>
        <v>NA</v>
      </c>
      <c r="N147" s="152" t="str">
        <f>IFERROR(SUMIFS(TME[[#All],[Total Non-Truncated Claims and Non-Claims Spending]],TME[[#All],[Reporting Year]],2019,TME[[#All],[Insurance Category Code]],2,TME[[#All],[Large Provider Entity Code]],B147)/J147,"NA")</f>
        <v>NA</v>
      </c>
      <c r="O147" s="152" t="str">
        <f>IFERROR(SUMIFS(TME[[#All],[Truncated Total Expenses (Total Truncated Claims Expenses + Non-Claims Expenses)]],TME[[#All],[Reporting Year]],2019,TME[[#All],[Insurance Category Code]],2,TME[[#All],[Large Provider Entity Code]],B147)/J147,"NA")</f>
        <v>NA</v>
      </c>
      <c r="P147" s="154" t="str">
        <f t="shared" si="246"/>
        <v>NA</v>
      </c>
      <c r="Q147" s="154" t="str">
        <f t="shared" si="247"/>
        <v>NA</v>
      </c>
      <c r="R147" s="154" t="str">
        <f t="shared" si="248"/>
        <v>NA</v>
      </c>
      <c r="S147" s="154" t="str">
        <f t="shared" si="249"/>
        <v>NA</v>
      </c>
      <c r="T147" s="154" t="str">
        <f t="shared" si="250"/>
        <v>NA</v>
      </c>
      <c r="U147" s="154" t="str">
        <f t="shared" si="251"/>
        <v>NA</v>
      </c>
      <c r="W147" s="123">
        <v>107</v>
      </c>
      <c r="X147" s="103" t="s">
        <v>251</v>
      </c>
      <c r="Y147" s="141">
        <f>SUMIFS(TME[[#All],[Member Months]],TME[[#All],[Reporting Year]],2019,TME[[#All],[Insurance Category Code]],2,TME[[#All],[Large Provider Entity Code]],W147)</f>
        <v>0</v>
      </c>
      <c r="Z147" s="152" t="str">
        <f>IFERROR(SUMIFS(TME[[#All],[Total Non-Truncated Claims Spending]],TME[[#All],[Reporting Year]],2019,TME[[#All],[Insurance Category Code]],2,TME[[#All],[Large Provider Entity Code]],W147)/Y147,"NA")</f>
        <v>NA</v>
      </c>
      <c r="AA147" s="152" t="str">
        <f>IFERROR(SUMIFS(TME[[#All],[Total Truncated Claims Spending]],TME[[#All],[Reporting Year]],2019,TME[[#All],[Insurance Category Code]],2,TME[[#All],[Large Provider Entity Code]],W147)/Y147,"NA")</f>
        <v>NA</v>
      </c>
      <c r="AB147" s="152" t="str">
        <f>IFERROR(SUMIFS(TME[[#All],[Total Non-Claims Spending]],TME[[#All],[Reporting Year]],2019,TME[[#All],[Insurance Category Code]],2,TME[[#All],[Large Provider Entity Code]],W147)/Y147,"NA")</f>
        <v>NA</v>
      </c>
      <c r="AC147" s="152" t="str">
        <f>IFERROR(SUMIFS(TME[[#All],[Total Non-Truncated Claims and Non-Claims Spending]],TME[[#All],[Reporting Year]],2019,TME[[#All],[Insurance Category Code]],2,TME[[#All],[Large Provider Entity Code]],W147)/Y147,"NA")</f>
        <v>NA</v>
      </c>
      <c r="AD147" s="152" t="str">
        <f>IFERROR(SUMIFS(TME[[#All],[Truncated Total Expenses (Total Truncated Claims Expenses + Non-Claims Expenses)]],TME[[#All],[Reporting Year]],2019,TME[[#All],[Insurance Category Code]],2,TME[[#All],[Large Provider Entity Code]],W147)/Y147,"NA")</f>
        <v>NA</v>
      </c>
      <c r="AE147" s="141">
        <f>SUMIFS(TME[[#All],[Member Months]],TME[[#All],[Reporting Year]],2020,TME[[#All],[Insurance Category Code]],2,TME[[#All],[Large Provider Entity Code]],W147)</f>
        <v>0</v>
      </c>
      <c r="AF147" s="152" t="str">
        <f>IFERROR(SUMIFS(TME[[#All],[Total Non-Truncated Claims Spending]],TME[[#All],[Reporting Year]],2020,TME[[#All],[Insurance Category Code]],2,TME[[#All],[Large Provider Entity Code]],W147)/AE147,"NA")</f>
        <v>NA</v>
      </c>
      <c r="AG147" s="152" t="str">
        <f>IFERROR(SUMIFS(TME[[#All],[Total Truncated Claims Spending]],TME[[#All],[Reporting Year]],2020,TME[[#All],[Insurance Category Code]],2,TME[[#All],[Large Provider Entity Code]],W147)/AE147,"NA")</f>
        <v>NA</v>
      </c>
      <c r="AH147" s="152" t="str">
        <f>IFERROR(SUMIFS(TME[[#All],[Total Non-Claims Spending]],TME[[#All],[Reporting Year]],2020,TME[[#All],[Insurance Category Code]],2,TME[[#All],[Large Provider Entity Code]],W147)/AE147,"NA")</f>
        <v>NA</v>
      </c>
      <c r="AI147" s="152" t="str">
        <f>IFERROR(SUMIFS(TME[[#All],[Total Non-Truncated Claims and Non-Claims Spending]],TME[[#All],[Reporting Year]],2020,TME[[#All],[Insurance Category Code]],2,TME[[#All],[Large Provider Entity Code]],W147)/AE147,"NA")</f>
        <v>NA</v>
      </c>
      <c r="AJ147" s="152" t="str">
        <f>IFERROR(SUMIFS(TME[[#All],[Truncated Total Expenses (Total Truncated Claims Expenses + Non-Claims Expenses)]],TME[[#All],[Reporting Year]],2020,TME[[#All],[Insurance Category Code]],2,TME[[#All],[Large Provider Entity Code]],W147)/AE147,"NA")</f>
        <v>NA</v>
      </c>
      <c r="AK147" s="154" t="str">
        <f t="shared" si="252"/>
        <v>NA</v>
      </c>
      <c r="AL147" s="154" t="str">
        <f t="shared" si="253"/>
        <v>NA</v>
      </c>
      <c r="AM147" s="154" t="str">
        <f t="shared" si="254"/>
        <v>NA</v>
      </c>
      <c r="AN147" s="154" t="str">
        <f t="shared" si="255"/>
        <v>NA</v>
      </c>
      <c r="AO147" s="154" t="str">
        <f t="shared" si="256"/>
        <v>NA</v>
      </c>
      <c r="AP147" s="154" t="str">
        <f t="shared" si="257"/>
        <v>NA</v>
      </c>
      <c r="AR147" s="123">
        <v>107</v>
      </c>
      <c r="AS147" s="103" t="s">
        <v>251</v>
      </c>
      <c r="AT147" s="141">
        <f>SUMIFS(TME[[#All],[Member Months]],TME[[#All],[Reporting Year]],2020,TME[[#All],[Insurance Category Code]],2,TME[[#All],[Large Provider Entity Code]],AR147)</f>
        <v>0</v>
      </c>
      <c r="AU147" s="152" t="str">
        <f>IFERROR(SUMIFS(TME[[#All],[Total Non-Truncated Claims Spending]],TME[[#All],[Reporting Year]],2020,TME[[#All],[Insurance Category Code]],2,TME[[#All],[Large Provider Entity Code]],AR147)/AT147,"NA")</f>
        <v>NA</v>
      </c>
      <c r="AV147" s="152" t="str">
        <f>IFERROR(SUMIFS(TME[[#All],[Total Truncated Claims Spending]],TME[[#All],[Reporting Year]],2020,TME[[#All],[Insurance Category Code]],2,TME[[#All],[Large Provider Entity Code]],AR147)/AT147,"NA")</f>
        <v>NA</v>
      </c>
      <c r="AW147" s="152" t="str">
        <f>IFERROR(SUMIFS(TME[[#All],[Total Non-Claims Spending]],TME[[#All],[Reporting Year]],2020,TME[[#All],[Insurance Category Code]],2,TME[[#All],[Large Provider Entity Code]],AR147)/AT147,"NA")</f>
        <v>NA</v>
      </c>
      <c r="AX147" s="152" t="str">
        <f>IFERROR(SUMIFS(TME[[#All],[Total Non-Truncated Claims and Non-Claims Spending]],TME[[#All],[Reporting Year]],2020,TME[[#All],[Insurance Category Code]],2,TME[[#All],[Large Provider Entity Code]],AR147)/AT147,"NA")</f>
        <v>NA</v>
      </c>
      <c r="AY147" s="152" t="str">
        <f>IFERROR(SUMIFS(TME[[#All],[Truncated Total Expenses (Total Truncated Claims Expenses + Non-Claims Expenses)]],TME[[#All],[Reporting Year]],2020,TME[[#All],[Insurance Category Code]],2,TME[[#All],[Large Provider Entity Code]],AR147)/AT147,"NA")</f>
        <v>NA</v>
      </c>
      <c r="AZ147" s="141">
        <f>SUMIFS(TME[[#All],[Member Months]],TME[[#All],[Reporting Year]],2021,TME[[#All],[Insurance Category Code]],2,TME[[#All],[Large Provider Entity Code]],AR147)</f>
        <v>0</v>
      </c>
      <c r="BA147" s="152" t="str">
        <f>IFERROR(SUMIFS(TME[[#All],[Total Non-Truncated Claims Spending]],TME[[#All],[Reporting Year]],2021,TME[[#All],[Insurance Category Code]],2,TME[[#All],[Large Provider Entity Code]],AR147)/AZ147,"NA")</f>
        <v>NA</v>
      </c>
      <c r="BB147" s="152" t="str">
        <f>IFERROR(SUMIFS(TME[[#All],[Total Truncated Claims Spending]],TME[[#All],[Reporting Year]],2021,TME[[#All],[Insurance Category Code]],2,TME[[#All],[Large Provider Entity Code]],AR147)/AZ147,"NA")</f>
        <v>NA</v>
      </c>
      <c r="BC147" s="152" t="str">
        <f>IFERROR(SUMIFS(TME[[#All],[Total Non-Claims Spending]],TME[[#All],[Reporting Year]],2021,TME[[#All],[Insurance Category Code]],2,TME[[#All],[Large Provider Entity Code]],AR147)/AZ147,"NA")</f>
        <v>NA</v>
      </c>
      <c r="BD147" s="152" t="str">
        <f>IFERROR(SUMIFS(TME[[#All],[Total Non-Truncated Claims and Non-Claims Spending]],TME[[#All],[Reporting Year]],2021,TME[[#All],[Insurance Category Code]],2,TME[[#All],[Large Provider Entity Code]],AR147)/AZ147,"NA")</f>
        <v>NA</v>
      </c>
      <c r="BE147" s="152" t="str">
        <f>IFERROR(SUMIFS(TME[[#All],[Truncated Total Expenses (Total Truncated Claims Expenses + Non-Claims Expenses)]],TME[[#All],[Reporting Year]],2021,TME[[#All],[Insurance Category Code]],2,TME[[#All],[Large Provider Entity Code]],AR147)/AZ147,"NA")</f>
        <v>NA</v>
      </c>
      <c r="BF147" s="154" t="str">
        <f t="shared" si="258"/>
        <v>NA</v>
      </c>
      <c r="BG147" s="154" t="str">
        <f t="shared" si="259"/>
        <v>NA</v>
      </c>
      <c r="BH147" s="154" t="str">
        <f t="shared" si="260"/>
        <v>NA</v>
      </c>
      <c r="BI147" s="154" t="str">
        <f t="shared" si="261"/>
        <v>NA</v>
      </c>
      <c r="BJ147" s="154" t="str">
        <f t="shared" si="262"/>
        <v>NA</v>
      </c>
      <c r="BK147" s="154" t="str">
        <f t="shared" si="263"/>
        <v>NA</v>
      </c>
    </row>
    <row r="148" spans="2:63" x14ac:dyDescent="0.35">
      <c r="B148" s="123">
        <v>108</v>
      </c>
      <c r="C148" s="103" t="s">
        <v>252</v>
      </c>
      <c r="D148" s="141">
        <f>SUMIFS(TME[[#All],[Member Months]],TME[[#All],[Reporting Year]],2018,TME[[#All],[Insurance Category Code]],2,TME[[#All],[Large Provider Entity Code]],B148)</f>
        <v>0</v>
      </c>
      <c r="E148" s="152" t="str">
        <f>IFERROR(SUMIFS(TME[[#All],[Total Non-Truncated Claims Spending]],TME[[#All],[Reporting Year]],2018,TME[[#All],[Insurance Category Code]],2,TME[[#All],[Large Provider Entity Code]],B148)/D148,"NA")</f>
        <v>NA</v>
      </c>
      <c r="F148" s="152" t="str">
        <f>IFERROR(SUMIFS(TME[[#All],[Total Truncated Claims Spending]],TME[[#All],[Reporting Year]],2018,TME[[#All],[Insurance Category Code]],2,TME[[#All],[Large Provider Entity Code]],B148)/D148,"NA")</f>
        <v>NA</v>
      </c>
      <c r="G148" s="152" t="str">
        <f>IFERROR(SUMIFS(TME[[#All],[Total Non-Claims Spending]],TME[[#All],[Reporting Year]],2018,TME[[#All],[Insurance Category Code]],2,TME[[#All],[Large Provider Entity Code]],B148)/D148,"NA")</f>
        <v>NA</v>
      </c>
      <c r="H148" s="152" t="str">
        <f>IFERROR(SUMIFS(TME[[#All],[Total Non-Truncated Claims and Non-Claims Spending]],TME[[#All],[Reporting Year]],2018,TME[[#All],[Insurance Category Code]],2,TME[[#All],[Large Provider Entity Code]],B148)/D148,"NA")</f>
        <v>NA</v>
      </c>
      <c r="I148" s="152" t="str">
        <f>IFERROR(SUMIFS(TME[[#All],[Truncated Total Expenses (Total Truncated Claims Expenses + Non-Claims Expenses)]],TME[[#All],[Reporting Year]],2018,TME[[#All],[Insurance Category Code]],2,TME[[#All],[Large Provider Entity Code]],B148)/D148,"NA")</f>
        <v>NA</v>
      </c>
      <c r="J148" s="141">
        <f>SUMIFS(TME[[#All],[Member Months]],TME[[#All],[Reporting Year]],2019,TME[[#All],[Insurance Category Code]],2,TME[[#All],[Large Provider Entity Code]],B148)</f>
        <v>0</v>
      </c>
      <c r="K148" s="152" t="str">
        <f>IFERROR(SUMIFS(TME[[#All],[Total Non-Truncated Claims Spending]],TME[[#All],[Reporting Year]],2019,TME[[#All],[Insurance Category Code]],2,TME[[#All],[Large Provider Entity Code]],B148)/J148,"NA")</f>
        <v>NA</v>
      </c>
      <c r="L148" s="152" t="str">
        <f>IFERROR(SUMIFS(TME[[#All],[Total Truncated Claims Spending]],TME[[#All],[Reporting Year]],2019,TME[[#All],[Insurance Category Code]],2,TME[[#All],[Large Provider Entity Code]],B148)/J148,"NA")</f>
        <v>NA</v>
      </c>
      <c r="M148" s="152" t="str">
        <f>IFERROR(SUMIFS(TME[[#All],[Total Non-Claims Spending]],TME[[#All],[Reporting Year]],2019,TME[[#All],[Insurance Category Code]],2,TME[[#All],[Large Provider Entity Code]],B148)/J148,"NA")</f>
        <v>NA</v>
      </c>
      <c r="N148" s="152" t="str">
        <f>IFERROR(SUMIFS(TME[[#All],[Total Non-Truncated Claims and Non-Claims Spending]],TME[[#All],[Reporting Year]],2019,TME[[#All],[Insurance Category Code]],2,TME[[#All],[Large Provider Entity Code]],B148)/J148,"NA")</f>
        <v>NA</v>
      </c>
      <c r="O148" s="152" t="str">
        <f>IFERROR(SUMIFS(TME[[#All],[Truncated Total Expenses (Total Truncated Claims Expenses + Non-Claims Expenses)]],TME[[#All],[Reporting Year]],2019,TME[[#All],[Insurance Category Code]],2,TME[[#All],[Large Provider Entity Code]],B148)/J148,"NA")</f>
        <v>NA</v>
      </c>
      <c r="P148" s="154" t="str">
        <f t="shared" si="246"/>
        <v>NA</v>
      </c>
      <c r="Q148" s="154" t="str">
        <f t="shared" si="247"/>
        <v>NA</v>
      </c>
      <c r="R148" s="154" t="str">
        <f t="shared" si="248"/>
        <v>NA</v>
      </c>
      <c r="S148" s="154" t="str">
        <f t="shared" si="249"/>
        <v>NA</v>
      </c>
      <c r="T148" s="154" t="str">
        <f t="shared" si="250"/>
        <v>NA</v>
      </c>
      <c r="U148" s="154" t="str">
        <f t="shared" si="251"/>
        <v>NA</v>
      </c>
      <c r="W148" s="123">
        <v>108</v>
      </c>
      <c r="X148" s="103" t="s">
        <v>252</v>
      </c>
      <c r="Y148" s="141">
        <f>SUMIFS(TME[[#All],[Member Months]],TME[[#All],[Reporting Year]],2019,TME[[#All],[Insurance Category Code]],2,TME[[#All],[Large Provider Entity Code]],W148)</f>
        <v>0</v>
      </c>
      <c r="Z148" s="152" t="str">
        <f>IFERROR(SUMIFS(TME[[#All],[Total Non-Truncated Claims Spending]],TME[[#All],[Reporting Year]],2019,TME[[#All],[Insurance Category Code]],2,TME[[#All],[Large Provider Entity Code]],W148)/Y148,"NA")</f>
        <v>NA</v>
      </c>
      <c r="AA148" s="152" t="str">
        <f>IFERROR(SUMIFS(TME[[#All],[Total Truncated Claims Spending]],TME[[#All],[Reporting Year]],2019,TME[[#All],[Insurance Category Code]],2,TME[[#All],[Large Provider Entity Code]],W148)/Y148,"NA")</f>
        <v>NA</v>
      </c>
      <c r="AB148" s="152" t="str">
        <f>IFERROR(SUMIFS(TME[[#All],[Total Non-Claims Spending]],TME[[#All],[Reporting Year]],2019,TME[[#All],[Insurance Category Code]],2,TME[[#All],[Large Provider Entity Code]],W148)/Y148,"NA")</f>
        <v>NA</v>
      </c>
      <c r="AC148" s="152" t="str">
        <f>IFERROR(SUMIFS(TME[[#All],[Total Non-Truncated Claims and Non-Claims Spending]],TME[[#All],[Reporting Year]],2019,TME[[#All],[Insurance Category Code]],2,TME[[#All],[Large Provider Entity Code]],W148)/Y148,"NA")</f>
        <v>NA</v>
      </c>
      <c r="AD148" s="152" t="str">
        <f>IFERROR(SUMIFS(TME[[#All],[Truncated Total Expenses (Total Truncated Claims Expenses + Non-Claims Expenses)]],TME[[#All],[Reporting Year]],2019,TME[[#All],[Insurance Category Code]],2,TME[[#All],[Large Provider Entity Code]],W148)/Y148,"NA")</f>
        <v>NA</v>
      </c>
      <c r="AE148" s="141">
        <f>SUMIFS(TME[[#All],[Member Months]],TME[[#All],[Reporting Year]],2020,TME[[#All],[Insurance Category Code]],2,TME[[#All],[Large Provider Entity Code]],W148)</f>
        <v>0</v>
      </c>
      <c r="AF148" s="152" t="str">
        <f>IFERROR(SUMIFS(TME[[#All],[Total Non-Truncated Claims Spending]],TME[[#All],[Reporting Year]],2020,TME[[#All],[Insurance Category Code]],2,TME[[#All],[Large Provider Entity Code]],W148)/AE148,"NA")</f>
        <v>NA</v>
      </c>
      <c r="AG148" s="152" t="str">
        <f>IFERROR(SUMIFS(TME[[#All],[Total Truncated Claims Spending]],TME[[#All],[Reporting Year]],2020,TME[[#All],[Insurance Category Code]],2,TME[[#All],[Large Provider Entity Code]],W148)/AE148,"NA")</f>
        <v>NA</v>
      </c>
      <c r="AH148" s="152" t="str">
        <f>IFERROR(SUMIFS(TME[[#All],[Total Non-Claims Spending]],TME[[#All],[Reporting Year]],2020,TME[[#All],[Insurance Category Code]],2,TME[[#All],[Large Provider Entity Code]],W148)/AE148,"NA")</f>
        <v>NA</v>
      </c>
      <c r="AI148" s="152" t="str">
        <f>IFERROR(SUMIFS(TME[[#All],[Total Non-Truncated Claims and Non-Claims Spending]],TME[[#All],[Reporting Year]],2020,TME[[#All],[Insurance Category Code]],2,TME[[#All],[Large Provider Entity Code]],W148)/AE148,"NA")</f>
        <v>NA</v>
      </c>
      <c r="AJ148" s="152" t="str">
        <f>IFERROR(SUMIFS(TME[[#All],[Truncated Total Expenses (Total Truncated Claims Expenses + Non-Claims Expenses)]],TME[[#All],[Reporting Year]],2020,TME[[#All],[Insurance Category Code]],2,TME[[#All],[Large Provider Entity Code]],W148)/AE148,"NA")</f>
        <v>NA</v>
      </c>
      <c r="AK148" s="154" t="str">
        <f t="shared" si="252"/>
        <v>NA</v>
      </c>
      <c r="AL148" s="154" t="str">
        <f t="shared" si="253"/>
        <v>NA</v>
      </c>
      <c r="AM148" s="154" t="str">
        <f t="shared" si="254"/>
        <v>NA</v>
      </c>
      <c r="AN148" s="154" t="str">
        <f t="shared" si="255"/>
        <v>NA</v>
      </c>
      <c r="AO148" s="154" t="str">
        <f t="shared" si="256"/>
        <v>NA</v>
      </c>
      <c r="AP148" s="154" t="str">
        <f t="shared" si="257"/>
        <v>NA</v>
      </c>
      <c r="AR148" s="123">
        <v>108</v>
      </c>
      <c r="AS148" s="103" t="s">
        <v>252</v>
      </c>
      <c r="AT148" s="141">
        <f>SUMIFS(TME[[#All],[Member Months]],TME[[#All],[Reporting Year]],2020,TME[[#All],[Insurance Category Code]],2,TME[[#All],[Large Provider Entity Code]],AR148)</f>
        <v>0</v>
      </c>
      <c r="AU148" s="152" t="str">
        <f>IFERROR(SUMIFS(TME[[#All],[Total Non-Truncated Claims Spending]],TME[[#All],[Reporting Year]],2020,TME[[#All],[Insurance Category Code]],2,TME[[#All],[Large Provider Entity Code]],AR148)/AT148,"NA")</f>
        <v>NA</v>
      </c>
      <c r="AV148" s="152" t="str">
        <f>IFERROR(SUMIFS(TME[[#All],[Total Truncated Claims Spending]],TME[[#All],[Reporting Year]],2020,TME[[#All],[Insurance Category Code]],2,TME[[#All],[Large Provider Entity Code]],AR148)/AT148,"NA")</f>
        <v>NA</v>
      </c>
      <c r="AW148" s="152" t="str">
        <f>IFERROR(SUMIFS(TME[[#All],[Total Non-Claims Spending]],TME[[#All],[Reporting Year]],2020,TME[[#All],[Insurance Category Code]],2,TME[[#All],[Large Provider Entity Code]],AR148)/AT148,"NA")</f>
        <v>NA</v>
      </c>
      <c r="AX148" s="152" t="str">
        <f>IFERROR(SUMIFS(TME[[#All],[Total Non-Truncated Claims and Non-Claims Spending]],TME[[#All],[Reporting Year]],2020,TME[[#All],[Insurance Category Code]],2,TME[[#All],[Large Provider Entity Code]],AR148)/AT148,"NA")</f>
        <v>NA</v>
      </c>
      <c r="AY148" s="152" t="str">
        <f>IFERROR(SUMIFS(TME[[#All],[Truncated Total Expenses (Total Truncated Claims Expenses + Non-Claims Expenses)]],TME[[#All],[Reporting Year]],2020,TME[[#All],[Insurance Category Code]],2,TME[[#All],[Large Provider Entity Code]],AR148)/AT148,"NA")</f>
        <v>NA</v>
      </c>
      <c r="AZ148" s="141">
        <f>SUMIFS(TME[[#All],[Member Months]],TME[[#All],[Reporting Year]],2021,TME[[#All],[Insurance Category Code]],2,TME[[#All],[Large Provider Entity Code]],AR148)</f>
        <v>0</v>
      </c>
      <c r="BA148" s="152" t="str">
        <f>IFERROR(SUMIFS(TME[[#All],[Total Non-Truncated Claims Spending]],TME[[#All],[Reporting Year]],2021,TME[[#All],[Insurance Category Code]],2,TME[[#All],[Large Provider Entity Code]],AR148)/AZ148,"NA")</f>
        <v>NA</v>
      </c>
      <c r="BB148" s="152" t="str">
        <f>IFERROR(SUMIFS(TME[[#All],[Total Truncated Claims Spending]],TME[[#All],[Reporting Year]],2021,TME[[#All],[Insurance Category Code]],2,TME[[#All],[Large Provider Entity Code]],AR148)/AZ148,"NA")</f>
        <v>NA</v>
      </c>
      <c r="BC148" s="152" t="str">
        <f>IFERROR(SUMIFS(TME[[#All],[Total Non-Claims Spending]],TME[[#All],[Reporting Year]],2021,TME[[#All],[Insurance Category Code]],2,TME[[#All],[Large Provider Entity Code]],AR148)/AZ148,"NA")</f>
        <v>NA</v>
      </c>
      <c r="BD148" s="152" t="str">
        <f>IFERROR(SUMIFS(TME[[#All],[Total Non-Truncated Claims and Non-Claims Spending]],TME[[#All],[Reporting Year]],2021,TME[[#All],[Insurance Category Code]],2,TME[[#All],[Large Provider Entity Code]],AR148)/AZ148,"NA")</f>
        <v>NA</v>
      </c>
      <c r="BE148" s="152" t="str">
        <f>IFERROR(SUMIFS(TME[[#All],[Truncated Total Expenses (Total Truncated Claims Expenses + Non-Claims Expenses)]],TME[[#All],[Reporting Year]],2021,TME[[#All],[Insurance Category Code]],2,TME[[#All],[Large Provider Entity Code]],AR148)/AZ148,"NA")</f>
        <v>NA</v>
      </c>
      <c r="BF148" s="154" t="str">
        <f t="shared" si="258"/>
        <v>NA</v>
      </c>
      <c r="BG148" s="154" t="str">
        <f t="shared" si="259"/>
        <v>NA</v>
      </c>
      <c r="BH148" s="154" t="str">
        <f t="shared" si="260"/>
        <v>NA</v>
      </c>
      <c r="BI148" s="154" t="str">
        <f t="shared" si="261"/>
        <v>NA</v>
      </c>
      <c r="BJ148" s="154" t="str">
        <f t="shared" si="262"/>
        <v>NA</v>
      </c>
      <c r="BK148" s="154" t="str">
        <f t="shared" si="263"/>
        <v>NA</v>
      </c>
    </row>
    <row r="149" spans="2:63" x14ac:dyDescent="0.35">
      <c r="B149" s="123">
        <v>109</v>
      </c>
      <c r="C149" s="103" t="s">
        <v>253</v>
      </c>
      <c r="D149" s="141">
        <f>SUMIFS(TME[[#All],[Member Months]],TME[[#All],[Reporting Year]],2018,TME[[#All],[Insurance Category Code]],2,TME[[#All],[Large Provider Entity Code]],B149)</f>
        <v>0</v>
      </c>
      <c r="E149" s="152" t="str">
        <f>IFERROR(SUMIFS(TME[[#All],[Total Non-Truncated Claims Spending]],TME[[#All],[Reporting Year]],2018,TME[[#All],[Insurance Category Code]],2,TME[[#All],[Large Provider Entity Code]],B149)/D149,"NA")</f>
        <v>NA</v>
      </c>
      <c r="F149" s="152" t="str">
        <f>IFERROR(SUMIFS(TME[[#All],[Total Truncated Claims Spending]],TME[[#All],[Reporting Year]],2018,TME[[#All],[Insurance Category Code]],2,TME[[#All],[Large Provider Entity Code]],B149)/D149,"NA")</f>
        <v>NA</v>
      </c>
      <c r="G149" s="152" t="str">
        <f>IFERROR(SUMIFS(TME[[#All],[Total Non-Claims Spending]],TME[[#All],[Reporting Year]],2018,TME[[#All],[Insurance Category Code]],2,TME[[#All],[Large Provider Entity Code]],B149)/D149,"NA")</f>
        <v>NA</v>
      </c>
      <c r="H149" s="152" t="str">
        <f>IFERROR(SUMIFS(TME[[#All],[Total Non-Truncated Claims and Non-Claims Spending]],TME[[#All],[Reporting Year]],2018,TME[[#All],[Insurance Category Code]],2,TME[[#All],[Large Provider Entity Code]],B149)/D149,"NA")</f>
        <v>NA</v>
      </c>
      <c r="I149" s="152" t="str">
        <f>IFERROR(SUMIFS(TME[[#All],[Truncated Total Expenses (Total Truncated Claims Expenses + Non-Claims Expenses)]],TME[[#All],[Reporting Year]],2018,TME[[#All],[Insurance Category Code]],2,TME[[#All],[Large Provider Entity Code]],B149)/D149,"NA")</f>
        <v>NA</v>
      </c>
      <c r="J149" s="141">
        <f>SUMIFS(TME[[#All],[Member Months]],TME[[#All],[Reporting Year]],2019,TME[[#All],[Insurance Category Code]],2,TME[[#All],[Large Provider Entity Code]],B149)</f>
        <v>0</v>
      </c>
      <c r="K149" s="152" t="str">
        <f>IFERROR(SUMIFS(TME[[#All],[Total Non-Truncated Claims Spending]],TME[[#All],[Reporting Year]],2019,TME[[#All],[Insurance Category Code]],2,TME[[#All],[Large Provider Entity Code]],B149)/J149,"NA")</f>
        <v>NA</v>
      </c>
      <c r="L149" s="152" t="str">
        <f>IFERROR(SUMIFS(TME[[#All],[Total Truncated Claims Spending]],TME[[#All],[Reporting Year]],2019,TME[[#All],[Insurance Category Code]],2,TME[[#All],[Large Provider Entity Code]],B149)/J149,"NA")</f>
        <v>NA</v>
      </c>
      <c r="M149" s="152" t="str">
        <f>IFERROR(SUMIFS(TME[[#All],[Total Non-Claims Spending]],TME[[#All],[Reporting Year]],2019,TME[[#All],[Insurance Category Code]],2,TME[[#All],[Large Provider Entity Code]],B149)/J149,"NA")</f>
        <v>NA</v>
      </c>
      <c r="N149" s="152" t="str">
        <f>IFERROR(SUMIFS(TME[[#All],[Total Non-Truncated Claims and Non-Claims Spending]],TME[[#All],[Reporting Year]],2019,TME[[#All],[Insurance Category Code]],2,TME[[#All],[Large Provider Entity Code]],B149)/J149,"NA")</f>
        <v>NA</v>
      </c>
      <c r="O149" s="152" t="str">
        <f>IFERROR(SUMIFS(TME[[#All],[Truncated Total Expenses (Total Truncated Claims Expenses + Non-Claims Expenses)]],TME[[#All],[Reporting Year]],2019,TME[[#All],[Insurance Category Code]],2,TME[[#All],[Large Provider Entity Code]],B149)/J149,"NA")</f>
        <v>NA</v>
      </c>
      <c r="P149" s="154" t="str">
        <f t="shared" si="246"/>
        <v>NA</v>
      </c>
      <c r="Q149" s="154" t="str">
        <f t="shared" si="247"/>
        <v>NA</v>
      </c>
      <c r="R149" s="154" t="str">
        <f t="shared" si="248"/>
        <v>NA</v>
      </c>
      <c r="S149" s="154" t="str">
        <f t="shared" si="249"/>
        <v>NA</v>
      </c>
      <c r="T149" s="154" t="str">
        <f t="shared" si="250"/>
        <v>NA</v>
      </c>
      <c r="U149" s="154" t="str">
        <f t="shared" si="251"/>
        <v>NA</v>
      </c>
      <c r="W149" s="123">
        <v>109</v>
      </c>
      <c r="X149" s="103" t="s">
        <v>253</v>
      </c>
      <c r="Y149" s="141">
        <f>SUMIFS(TME[[#All],[Member Months]],TME[[#All],[Reporting Year]],2019,TME[[#All],[Insurance Category Code]],2,TME[[#All],[Large Provider Entity Code]],W149)</f>
        <v>0</v>
      </c>
      <c r="Z149" s="152" t="str">
        <f>IFERROR(SUMIFS(TME[[#All],[Total Non-Truncated Claims Spending]],TME[[#All],[Reporting Year]],2019,TME[[#All],[Insurance Category Code]],2,TME[[#All],[Large Provider Entity Code]],W149)/Y149,"NA")</f>
        <v>NA</v>
      </c>
      <c r="AA149" s="152" t="str">
        <f>IFERROR(SUMIFS(TME[[#All],[Total Truncated Claims Spending]],TME[[#All],[Reporting Year]],2019,TME[[#All],[Insurance Category Code]],2,TME[[#All],[Large Provider Entity Code]],W149)/Y149,"NA")</f>
        <v>NA</v>
      </c>
      <c r="AB149" s="152" t="str">
        <f>IFERROR(SUMIFS(TME[[#All],[Total Non-Claims Spending]],TME[[#All],[Reporting Year]],2019,TME[[#All],[Insurance Category Code]],2,TME[[#All],[Large Provider Entity Code]],W149)/Y149,"NA")</f>
        <v>NA</v>
      </c>
      <c r="AC149" s="152" t="str">
        <f>IFERROR(SUMIFS(TME[[#All],[Total Non-Truncated Claims and Non-Claims Spending]],TME[[#All],[Reporting Year]],2019,TME[[#All],[Insurance Category Code]],2,TME[[#All],[Large Provider Entity Code]],W149)/Y149,"NA")</f>
        <v>NA</v>
      </c>
      <c r="AD149" s="152" t="str">
        <f>IFERROR(SUMIFS(TME[[#All],[Truncated Total Expenses (Total Truncated Claims Expenses + Non-Claims Expenses)]],TME[[#All],[Reporting Year]],2019,TME[[#All],[Insurance Category Code]],2,TME[[#All],[Large Provider Entity Code]],W149)/Y149,"NA")</f>
        <v>NA</v>
      </c>
      <c r="AE149" s="141">
        <f>SUMIFS(TME[[#All],[Member Months]],TME[[#All],[Reporting Year]],2020,TME[[#All],[Insurance Category Code]],2,TME[[#All],[Large Provider Entity Code]],W149)</f>
        <v>0</v>
      </c>
      <c r="AF149" s="152" t="str">
        <f>IFERROR(SUMIFS(TME[[#All],[Total Non-Truncated Claims Spending]],TME[[#All],[Reporting Year]],2020,TME[[#All],[Insurance Category Code]],2,TME[[#All],[Large Provider Entity Code]],W149)/AE149,"NA")</f>
        <v>NA</v>
      </c>
      <c r="AG149" s="152" t="str">
        <f>IFERROR(SUMIFS(TME[[#All],[Total Truncated Claims Spending]],TME[[#All],[Reporting Year]],2020,TME[[#All],[Insurance Category Code]],2,TME[[#All],[Large Provider Entity Code]],W149)/AE149,"NA")</f>
        <v>NA</v>
      </c>
      <c r="AH149" s="152" t="str">
        <f>IFERROR(SUMIFS(TME[[#All],[Total Non-Claims Spending]],TME[[#All],[Reporting Year]],2020,TME[[#All],[Insurance Category Code]],2,TME[[#All],[Large Provider Entity Code]],W149)/AE149,"NA")</f>
        <v>NA</v>
      </c>
      <c r="AI149" s="152" t="str">
        <f>IFERROR(SUMIFS(TME[[#All],[Total Non-Truncated Claims and Non-Claims Spending]],TME[[#All],[Reporting Year]],2020,TME[[#All],[Insurance Category Code]],2,TME[[#All],[Large Provider Entity Code]],W149)/AE149,"NA")</f>
        <v>NA</v>
      </c>
      <c r="AJ149" s="152" t="str">
        <f>IFERROR(SUMIFS(TME[[#All],[Truncated Total Expenses (Total Truncated Claims Expenses + Non-Claims Expenses)]],TME[[#All],[Reporting Year]],2020,TME[[#All],[Insurance Category Code]],2,TME[[#All],[Large Provider Entity Code]],W149)/AE149,"NA")</f>
        <v>NA</v>
      </c>
      <c r="AK149" s="154" t="str">
        <f t="shared" si="252"/>
        <v>NA</v>
      </c>
      <c r="AL149" s="154" t="str">
        <f t="shared" si="253"/>
        <v>NA</v>
      </c>
      <c r="AM149" s="154" t="str">
        <f t="shared" si="254"/>
        <v>NA</v>
      </c>
      <c r="AN149" s="154" t="str">
        <f t="shared" si="255"/>
        <v>NA</v>
      </c>
      <c r="AO149" s="154" t="str">
        <f t="shared" si="256"/>
        <v>NA</v>
      </c>
      <c r="AP149" s="154" t="str">
        <f t="shared" si="257"/>
        <v>NA</v>
      </c>
      <c r="AR149" s="123">
        <v>109</v>
      </c>
      <c r="AS149" s="103" t="s">
        <v>253</v>
      </c>
      <c r="AT149" s="141">
        <f>SUMIFS(TME[[#All],[Member Months]],TME[[#All],[Reporting Year]],2020,TME[[#All],[Insurance Category Code]],2,TME[[#All],[Large Provider Entity Code]],AR149)</f>
        <v>0</v>
      </c>
      <c r="AU149" s="152" t="str">
        <f>IFERROR(SUMIFS(TME[[#All],[Total Non-Truncated Claims Spending]],TME[[#All],[Reporting Year]],2020,TME[[#All],[Insurance Category Code]],2,TME[[#All],[Large Provider Entity Code]],AR149)/AT149,"NA")</f>
        <v>NA</v>
      </c>
      <c r="AV149" s="152" t="str">
        <f>IFERROR(SUMIFS(TME[[#All],[Total Truncated Claims Spending]],TME[[#All],[Reporting Year]],2020,TME[[#All],[Insurance Category Code]],2,TME[[#All],[Large Provider Entity Code]],AR149)/AT149,"NA")</f>
        <v>NA</v>
      </c>
      <c r="AW149" s="152" t="str">
        <f>IFERROR(SUMIFS(TME[[#All],[Total Non-Claims Spending]],TME[[#All],[Reporting Year]],2020,TME[[#All],[Insurance Category Code]],2,TME[[#All],[Large Provider Entity Code]],AR149)/AT149,"NA")</f>
        <v>NA</v>
      </c>
      <c r="AX149" s="152" t="str">
        <f>IFERROR(SUMIFS(TME[[#All],[Total Non-Truncated Claims and Non-Claims Spending]],TME[[#All],[Reporting Year]],2020,TME[[#All],[Insurance Category Code]],2,TME[[#All],[Large Provider Entity Code]],AR149)/AT149,"NA")</f>
        <v>NA</v>
      </c>
      <c r="AY149" s="152" t="str">
        <f>IFERROR(SUMIFS(TME[[#All],[Truncated Total Expenses (Total Truncated Claims Expenses + Non-Claims Expenses)]],TME[[#All],[Reporting Year]],2020,TME[[#All],[Insurance Category Code]],2,TME[[#All],[Large Provider Entity Code]],AR149)/AT149,"NA")</f>
        <v>NA</v>
      </c>
      <c r="AZ149" s="141">
        <f>SUMIFS(TME[[#All],[Member Months]],TME[[#All],[Reporting Year]],2021,TME[[#All],[Insurance Category Code]],2,TME[[#All],[Large Provider Entity Code]],AR149)</f>
        <v>0</v>
      </c>
      <c r="BA149" s="152" t="str">
        <f>IFERROR(SUMIFS(TME[[#All],[Total Non-Truncated Claims Spending]],TME[[#All],[Reporting Year]],2021,TME[[#All],[Insurance Category Code]],2,TME[[#All],[Large Provider Entity Code]],AR149)/AZ149,"NA")</f>
        <v>NA</v>
      </c>
      <c r="BB149" s="152" t="str">
        <f>IFERROR(SUMIFS(TME[[#All],[Total Truncated Claims Spending]],TME[[#All],[Reporting Year]],2021,TME[[#All],[Insurance Category Code]],2,TME[[#All],[Large Provider Entity Code]],AR149)/AZ149,"NA")</f>
        <v>NA</v>
      </c>
      <c r="BC149" s="152" t="str">
        <f>IFERROR(SUMIFS(TME[[#All],[Total Non-Claims Spending]],TME[[#All],[Reporting Year]],2021,TME[[#All],[Insurance Category Code]],2,TME[[#All],[Large Provider Entity Code]],AR149)/AZ149,"NA")</f>
        <v>NA</v>
      </c>
      <c r="BD149" s="152" t="str">
        <f>IFERROR(SUMIFS(TME[[#All],[Total Non-Truncated Claims and Non-Claims Spending]],TME[[#All],[Reporting Year]],2021,TME[[#All],[Insurance Category Code]],2,TME[[#All],[Large Provider Entity Code]],AR149)/AZ149,"NA")</f>
        <v>NA</v>
      </c>
      <c r="BE149" s="152" t="str">
        <f>IFERROR(SUMIFS(TME[[#All],[Truncated Total Expenses (Total Truncated Claims Expenses + Non-Claims Expenses)]],TME[[#All],[Reporting Year]],2021,TME[[#All],[Insurance Category Code]],2,TME[[#All],[Large Provider Entity Code]],AR149)/AZ149,"NA")</f>
        <v>NA</v>
      </c>
      <c r="BF149" s="154" t="str">
        <f t="shared" si="258"/>
        <v>NA</v>
      </c>
      <c r="BG149" s="154" t="str">
        <f t="shared" si="259"/>
        <v>NA</v>
      </c>
      <c r="BH149" s="154" t="str">
        <f t="shared" si="260"/>
        <v>NA</v>
      </c>
      <c r="BI149" s="154" t="str">
        <f t="shared" si="261"/>
        <v>NA</v>
      </c>
      <c r="BJ149" s="154" t="str">
        <f t="shared" si="262"/>
        <v>NA</v>
      </c>
      <c r="BK149" s="154" t="str">
        <f t="shared" si="263"/>
        <v>NA</v>
      </c>
    </row>
    <row r="150" spans="2:63" x14ac:dyDescent="0.35">
      <c r="B150" s="123">
        <v>110</v>
      </c>
      <c r="C150" s="103" t="s">
        <v>294</v>
      </c>
      <c r="D150" s="141">
        <f>SUMIFS(TME[[#All],[Member Months]],TME[[#All],[Reporting Year]],2018,TME[[#All],[Insurance Category Code]],2,TME[[#All],[Large Provider Entity Code]],B150)</f>
        <v>0</v>
      </c>
      <c r="E150" s="152" t="str">
        <f>IFERROR(SUMIFS(TME[[#All],[Total Non-Truncated Claims Spending]],TME[[#All],[Reporting Year]],2018,TME[[#All],[Insurance Category Code]],2,TME[[#All],[Large Provider Entity Code]],B150)/D150,"NA")</f>
        <v>NA</v>
      </c>
      <c r="F150" s="152" t="str">
        <f>IFERROR(SUMIFS(TME[[#All],[Total Truncated Claims Spending]],TME[[#All],[Reporting Year]],2018,TME[[#All],[Insurance Category Code]],2,TME[[#All],[Large Provider Entity Code]],B150)/D150,"NA")</f>
        <v>NA</v>
      </c>
      <c r="G150" s="152" t="str">
        <f>IFERROR(SUMIFS(TME[[#All],[Total Non-Claims Spending]],TME[[#All],[Reporting Year]],2018,TME[[#All],[Insurance Category Code]],2,TME[[#All],[Large Provider Entity Code]],B150)/D150,"NA")</f>
        <v>NA</v>
      </c>
      <c r="H150" s="152" t="str">
        <f>IFERROR(SUMIFS(TME[[#All],[Total Non-Truncated Claims and Non-Claims Spending]],TME[[#All],[Reporting Year]],2018,TME[[#All],[Insurance Category Code]],2,TME[[#All],[Large Provider Entity Code]],B150)/D150,"NA")</f>
        <v>NA</v>
      </c>
      <c r="I150" s="152" t="str">
        <f>IFERROR(SUMIFS(TME[[#All],[Truncated Total Expenses (Total Truncated Claims Expenses + Non-Claims Expenses)]],TME[[#All],[Reporting Year]],2018,TME[[#All],[Insurance Category Code]],2,TME[[#All],[Large Provider Entity Code]],B150)/D150,"NA")</f>
        <v>NA</v>
      </c>
      <c r="J150" s="141">
        <f>SUMIFS(TME[[#All],[Member Months]],TME[[#All],[Reporting Year]],2019,TME[[#All],[Insurance Category Code]],2,TME[[#All],[Large Provider Entity Code]],B150)</f>
        <v>0</v>
      </c>
      <c r="K150" s="152" t="str">
        <f>IFERROR(SUMIFS(TME[[#All],[Total Non-Truncated Claims Spending]],TME[[#All],[Reporting Year]],2019,TME[[#All],[Insurance Category Code]],2,TME[[#All],[Large Provider Entity Code]],B150)/J150,"NA")</f>
        <v>NA</v>
      </c>
      <c r="L150" s="152" t="str">
        <f>IFERROR(SUMIFS(TME[[#All],[Total Truncated Claims Spending]],TME[[#All],[Reporting Year]],2019,TME[[#All],[Insurance Category Code]],2,TME[[#All],[Large Provider Entity Code]],B150)/J150,"NA")</f>
        <v>NA</v>
      </c>
      <c r="M150" s="152" t="str">
        <f>IFERROR(SUMIFS(TME[[#All],[Total Non-Claims Spending]],TME[[#All],[Reporting Year]],2019,TME[[#All],[Insurance Category Code]],2,TME[[#All],[Large Provider Entity Code]],B150)/J150,"NA")</f>
        <v>NA</v>
      </c>
      <c r="N150" s="152" t="str">
        <f>IFERROR(SUMIFS(TME[[#All],[Total Non-Truncated Claims and Non-Claims Spending]],TME[[#All],[Reporting Year]],2019,TME[[#All],[Insurance Category Code]],2,TME[[#All],[Large Provider Entity Code]],B150)/J150,"NA")</f>
        <v>NA</v>
      </c>
      <c r="O150" s="152" t="str">
        <f>IFERROR(SUMIFS(TME[[#All],[Truncated Total Expenses (Total Truncated Claims Expenses + Non-Claims Expenses)]],TME[[#All],[Reporting Year]],2019,TME[[#All],[Insurance Category Code]],2,TME[[#All],[Large Provider Entity Code]],B150)/J150,"NA")</f>
        <v>NA</v>
      </c>
      <c r="P150" s="154" t="str">
        <f t="shared" si="246"/>
        <v>NA</v>
      </c>
      <c r="Q150" s="154" t="str">
        <f t="shared" si="247"/>
        <v>NA</v>
      </c>
      <c r="R150" s="154" t="str">
        <f t="shared" si="248"/>
        <v>NA</v>
      </c>
      <c r="S150" s="154" t="str">
        <f t="shared" si="249"/>
        <v>NA</v>
      </c>
      <c r="T150" s="154" t="str">
        <f t="shared" si="250"/>
        <v>NA</v>
      </c>
      <c r="U150" s="154" t="str">
        <f t="shared" si="251"/>
        <v>NA</v>
      </c>
      <c r="W150" s="123">
        <v>110</v>
      </c>
      <c r="X150" s="103" t="s">
        <v>294</v>
      </c>
      <c r="Y150" s="141">
        <f>SUMIFS(TME[[#All],[Member Months]],TME[[#All],[Reporting Year]],2019,TME[[#All],[Insurance Category Code]],2,TME[[#All],[Large Provider Entity Code]],W150)</f>
        <v>0</v>
      </c>
      <c r="Z150" s="152" t="str">
        <f>IFERROR(SUMIFS(TME[[#All],[Total Non-Truncated Claims Spending]],TME[[#All],[Reporting Year]],2019,TME[[#All],[Insurance Category Code]],2,TME[[#All],[Large Provider Entity Code]],W150)/Y150,"NA")</f>
        <v>NA</v>
      </c>
      <c r="AA150" s="152" t="str">
        <f>IFERROR(SUMIFS(TME[[#All],[Total Truncated Claims Spending]],TME[[#All],[Reporting Year]],2019,TME[[#All],[Insurance Category Code]],2,TME[[#All],[Large Provider Entity Code]],W150)/Y150,"NA")</f>
        <v>NA</v>
      </c>
      <c r="AB150" s="152" t="str">
        <f>IFERROR(SUMIFS(TME[[#All],[Total Non-Claims Spending]],TME[[#All],[Reporting Year]],2019,TME[[#All],[Insurance Category Code]],2,TME[[#All],[Large Provider Entity Code]],W150)/Y150,"NA")</f>
        <v>NA</v>
      </c>
      <c r="AC150" s="152" t="str">
        <f>IFERROR(SUMIFS(TME[[#All],[Total Non-Truncated Claims and Non-Claims Spending]],TME[[#All],[Reporting Year]],2019,TME[[#All],[Insurance Category Code]],2,TME[[#All],[Large Provider Entity Code]],W150)/Y150,"NA")</f>
        <v>NA</v>
      </c>
      <c r="AD150" s="152" t="str">
        <f>IFERROR(SUMIFS(TME[[#All],[Truncated Total Expenses (Total Truncated Claims Expenses + Non-Claims Expenses)]],TME[[#All],[Reporting Year]],2019,TME[[#All],[Insurance Category Code]],2,TME[[#All],[Large Provider Entity Code]],W150)/Y150,"NA")</f>
        <v>NA</v>
      </c>
      <c r="AE150" s="141">
        <f>SUMIFS(TME[[#All],[Member Months]],TME[[#All],[Reporting Year]],2020,TME[[#All],[Insurance Category Code]],2,TME[[#All],[Large Provider Entity Code]],W150)</f>
        <v>0</v>
      </c>
      <c r="AF150" s="152" t="str">
        <f>IFERROR(SUMIFS(TME[[#All],[Total Non-Truncated Claims Spending]],TME[[#All],[Reporting Year]],2020,TME[[#All],[Insurance Category Code]],2,TME[[#All],[Large Provider Entity Code]],W150)/AE150,"NA")</f>
        <v>NA</v>
      </c>
      <c r="AG150" s="152" t="str">
        <f>IFERROR(SUMIFS(TME[[#All],[Total Truncated Claims Spending]],TME[[#All],[Reporting Year]],2020,TME[[#All],[Insurance Category Code]],2,TME[[#All],[Large Provider Entity Code]],W150)/AE150,"NA")</f>
        <v>NA</v>
      </c>
      <c r="AH150" s="152" t="str">
        <f>IFERROR(SUMIFS(TME[[#All],[Total Non-Claims Spending]],TME[[#All],[Reporting Year]],2020,TME[[#All],[Insurance Category Code]],2,TME[[#All],[Large Provider Entity Code]],W150)/AE150,"NA")</f>
        <v>NA</v>
      </c>
      <c r="AI150" s="152" t="str">
        <f>IFERROR(SUMIFS(TME[[#All],[Total Non-Truncated Claims and Non-Claims Spending]],TME[[#All],[Reporting Year]],2020,TME[[#All],[Insurance Category Code]],2,TME[[#All],[Large Provider Entity Code]],W150)/AE150,"NA")</f>
        <v>NA</v>
      </c>
      <c r="AJ150" s="152" t="str">
        <f>IFERROR(SUMIFS(TME[[#All],[Truncated Total Expenses (Total Truncated Claims Expenses + Non-Claims Expenses)]],TME[[#All],[Reporting Year]],2020,TME[[#All],[Insurance Category Code]],2,TME[[#All],[Large Provider Entity Code]],W150)/AE150,"NA")</f>
        <v>NA</v>
      </c>
      <c r="AK150" s="154" t="str">
        <f t="shared" si="252"/>
        <v>NA</v>
      </c>
      <c r="AL150" s="154" t="str">
        <f t="shared" si="253"/>
        <v>NA</v>
      </c>
      <c r="AM150" s="154" t="str">
        <f t="shared" si="254"/>
        <v>NA</v>
      </c>
      <c r="AN150" s="154" t="str">
        <f t="shared" si="255"/>
        <v>NA</v>
      </c>
      <c r="AO150" s="154" t="str">
        <f t="shared" si="256"/>
        <v>NA</v>
      </c>
      <c r="AP150" s="154" t="str">
        <f t="shared" si="257"/>
        <v>NA</v>
      </c>
      <c r="AR150" s="123">
        <v>110</v>
      </c>
      <c r="AS150" s="103" t="s">
        <v>294</v>
      </c>
      <c r="AT150" s="141">
        <f>SUMIFS(TME[[#All],[Member Months]],TME[[#All],[Reporting Year]],2020,TME[[#All],[Insurance Category Code]],2,TME[[#All],[Large Provider Entity Code]],AR150)</f>
        <v>0</v>
      </c>
      <c r="AU150" s="152" t="str">
        <f>IFERROR(SUMIFS(TME[[#All],[Total Non-Truncated Claims Spending]],TME[[#All],[Reporting Year]],2020,TME[[#All],[Insurance Category Code]],2,TME[[#All],[Large Provider Entity Code]],AR150)/AT150,"NA")</f>
        <v>NA</v>
      </c>
      <c r="AV150" s="152" t="str">
        <f>IFERROR(SUMIFS(TME[[#All],[Total Truncated Claims Spending]],TME[[#All],[Reporting Year]],2020,TME[[#All],[Insurance Category Code]],2,TME[[#All],[Large Provider Entity Code]],AR150)/AT150,"NA")</f>
        <v>NA</v>
      </c>
      <c r="AW150" s="152" t="str">
        <f>IFERROR(SUMIFS(TME[[#All],[Total Non-Claims Spending]],TME[[#All],[Reporting Year]],2020,TME[[#All],[Insurance Category Code]],2,TME[[#All],[Large Provider Entity Code]],AR150)/AT150,"NA")</f>
        <v>NA</v>
      </c>
      <c r="AX150" s="152" t="str">
        <f>IFERROR(SUMIFS(TME[[#All],[Total Non-Truncated Claims and Non-Claims Spending]],TME[[#All],[Reporting Year]],2020,TME[[#All],[Insurance Category Code]],2,TME[[#All],[Large Provider Entity Code]],AR150)/AT150,"NA")</f>
        <v>NA</v>
      </c>
      <c r="AY150" s="152" t="str">
        <f>IFERROR(SUMIFS(TME[[#All],[Truncated Total Expenses (Total Truncated Claims Expenses + Non-Claims Expenses)]],TME[[#All],[Reporting Year]],2020,TME[[#All],[Insurance Category Code]],2,TME[[#All],[Large Provider Entity Code]],AR150)/AT150,"NA")</f>
        <v>NA</v>
      </c>
      <c r="AZ150" s="141">
        <f>SUMIFS(TME[[#All],[Member Months]],TME[[#All],[Reporting Year]],2021,TME[[#All],[Insurance Category Code]],2,TME[[#All],[Large Provider Entity Code]],AR150)</f>
        <v>0</v>
      </c>
      <c r="BA150" s="152" t="str">
        <f>IFERROR(SUMIFS(TME[[#All],[Total Non-Truncated Claims Spending]],TME[[#All],[Reporting Year]],2021,TME[[#All],[Insurance Category Code]],2,TME[[#All],[Large Provider Entity Code]],AR150)/AZ150,"NA")</f>
        <v>NA</v>
      </c>
      <c r="BB150" s="152" t="str">
        <f>IFERROR(SUMIFS(TME[[#All],[Total Truncated Claims Spending]],TME[[#All],[Reporting Year]],2021,TME[[#All],[Insurance Category Code]],2,TME[[#All],[Large Provider Entity Code]],AR150)/AZ150,"NA")</f>
        <v>NA</v>
      </c>
      <c r="BC150" s="152" t="str">
        <f>IFERROR(SUMIFS(TME[[#All],[Total Non-Claims Spending]],TME[[#All],[Reporting Year]],2021,TME[[#All],[Insurance Category Code]],2,TME[[#All],[Large Provider Entity Code]],AR150)/AZ150,"NA")</f>
        <v>NA</v>
      </c>
      <c r="BD150" s="152" t="str">
        <f>IFERROR(SUMIFS(TME[[#All],[Total Non-Truncated Claims and Non-Claims Spending]],TME[[#All],[Reporting Year]],2021,TME[[#All],[Insurance Category Code]],2,TME[[#All],[Large Provider Entity Code]],AR150)/AZ150,"NA")</f>
        <v>NA</v>
      </c>
      <c r="BE150" s="152" t="str">
        <f>IFERROR(SUMIFS(TME[[#All],[Truncated Total Expenses (Total Truncated Claims Expenses + Non-Claims Expenses)]],TME[[#All],[Reporting Year]],2021,TME[[#All],[Insurance Category Code]],2,TME[[#All],[Large Provider Entity Code]],AR150)/AZ150,"NA")</f>
        <v>NA</v>
      </c>
      <c r="BF150" s="154" t="str">
        <f t="shared" si="258"/>
        <v>NA</v>
      </c>
      <c r="BG150" s="154" t="str">
        <f t="shared" si="259"/>
        <v>NA</v>
      </c>
      <c r="BH150" s="154" t="str">
        <f t="shared" si="260"/>
        <v>NA</v>
      </c>
      <c r="BI150" s="154" t="str">
        <f t="shared" si="261"/>
        <v>NA</v>
      </c>
      <c r="BJ150" s="154" t="str">
        <f t="shared" si="262"/>
        <v>NA</v>
      </c>
      <c r="BK150" s="154" t="str">
        <f t="shared" si="263"/>
        <v>NA</v>
      </c>
    </row>
    <row r="151" spans="2:63" x14ac:dyDescent="0.35">
      <c r="B151" s="123">
        <v>111</v>
      </c>
      <c r="C151" s="103" t="s">
        <v>254</v>
      </c>
      <c r="D151" s="141">
        <f>SUMIFS(TME[[#All],[Member Months]],TME[[#All],[Reporting Year]],2018,TME[[#All],[Insurance Category Code]],2,TME[[#All],[Large Provider Entity Code]],B151)</f>
        <v>0</v>
      </c>
      <c r="E151" s="152" t="str">
        <f>IFERROR(SUMIFS(TME[[#All],[Total Non-Truncated Claims Spending]],TME[[#All],[Reporting Year]],2018,TME[[#All],[Insurance Category Code]],2,TME[[#All],[Large Provider Entity Code]],B151)/D151,"NA")</f>
        <v>NA</v>
      </c>
      <c r="F151" s="152" t="str">
        <f>IFERROR(SUMIFS(TME[[#All],[Total Truncated Claims Spending]],TME[[#All],[Reporting Year]],2018,TME[[#All],[Insurance Category Code]],2,TME[[#All],[Large Provider Entity Code]],B151)/D151,"NA")</f>
        <v>NA</v>
      </c>
      <c r="G151" s="152" t="str">
        <f>IFERROR(SUMIFS(TME[[#All],[Total Non-Claims Spending]],TME[[#All],[Reporting Year]],2018,TME[[#All],[Insurance Category Code]],2,TME[[#All],[Large Provider Entity Code]],B151)/D151,"NA")</f>
        <v>NA</v>
      </c>
      <c r="H151" s="152" t="str">
        <f>IFERROR(SUMIFS(TME[[#All],[Total Non-Truncated Claims and Non-Claims Spending]],TME[[#All],[Reporting Year]],2018,TME[[#All],[Insurance Category Code]],2,TME[[#All],[Large Provider Entity Code]],B151)/D151,"NA")</f>
        <v>NA</v>
      </c>
      <c r="I151" s="152" t="str">
        <f>IFERROR(SUMIFS(TME[[#All],[Truncated Total Expenses (Total Truncated Claims Expenses + Non-Claims Expenses)]],TME[[#All],[Reporting Year]],2018,TME[[#All],[Insurance Category Code]],2,TME[[#All],[Large Provider Entity Code]],B151)/D151,"NA")</f>
        <v>NA</v>
      </c>
      <c r="J151" s="141">
        <f>SUMIFS(TME[[#All],[Member Months]],TME[[#All],[Reporting Year]],2019,TME[[#All],[Insurance Category Code]],2,TME[[#All],[Large Provider Entity Code]],B151)</f>
        <v>0</v>
      </c>
      <c r="K151" s="152" t="str">
        <f>IFERROR(SUMIFS(TME[[#All],[Total Non-Truncated Claims Spending]],TME[[#All],[Reporting Year]],2019,TME[[#All],[Insurance Category Code]],2,TME[[#All],[Large Provider Entity Code]],B151)/J151,"NA")</f>
        <v>NA</v>
      </c>
      <c r="L151" s="152" t="str">
        <f>IFERROR(SUMIFS(TME[[#All],[Total Truncated Claims Spending]],TME[[#All],[Reporting Year]],2019,TME[[#All],[Insurance Category Code]],2,TME[[#All],[Large Provider Entity Code]],B151)/J151,"NA")</f>
        <v>NA</v>
      </c>
      <c r="M151" s="152" t="str">
        <f>IFERROR(SUMIFS(TME[[#All],[Total Non-Claims Spending]],TME[[#All],[Reporting Year]],2019,TME[[#All],[Insurance Category Code]],2,TME[[#All],[Large Provider Entity Code]],B151)/J151,"NA")</f>
        <v>NA</v>
      </c>
      <c r="N151" s="152" t="str">
        <f>IFERROR(SUMIFS(TME[[#All],[Total Non-Truncated Claims and Non-Claims Spending]],TME[[#All],[Reporting Year]],2019,TME[[#All],[Insurance Category Code]],2,TME[[#All],[Large Provider Entity Code]],B151)/J151,"NA")</f>
        <v>NA</v>
      </c>
      <c r="O151" s="152" t="str">
        <f>IFERROR(SUMIFS(TME[[#All],[Truncated Total Expenses (Total Truncated Claims Expenses + Non-Claims Expenses)]],TME[[#All],[Reporting Year]],2019,TME[[#All],[Insurance Category Code]],2,TME[[#All],[Large Provider Entity Code]],B151)/J151,"NA")</f>
        <v>NA</v>
      </c>
      <c r="P151" s="154" t="str">
        <f t="shared" si="246"/>
        <v>NA</v>
      </c>
      <c r="Q151" s="154" t="str">
        <f t="shared" si="247"/>
        <v>NA</v>
      </c>
      <c r="R151" s="154" t="str">
        <f t="shared" si="248"/>
        <v>NA</v>
      </c>
      <c r="S151" s="154" t="str">
        <f t="shared" si="249"/>
        <v>NA</v>
      </c>
      <c r="T151" s="154" t="str">
        <f t="shared" si="250"/>
        <v>NA</v>
      </c>
      <c r="U151" s="154" t="str">
        <f t="shared" si="251"/>
        <v>NA</v>
      </c>
      <c r="W151" s="123">
        <v>111</v>
      </c>
      <c r="X151" s="103" t="s">
        <v>254</v>
      </c>
      <c r="Y151" s="141">
        <f>SUMIFS(TME[[#All],[Member Months]],TME[[#All],[Reporting Year]],2019,TME[[#All],[Insurance Category Code]],2,TME[[#All],[Large Provider Entity Code]],W151)</f>
        <v>0</v>
      </c>
      <c r="Z151" s="152" t="str">
        <f>IFERROR(SUMIFS(TME[[#All],[Total Non-Truncated Claims Spending]],TME[[#All],[Reporting Year]],2019,TME[[#All],[Insurance Category Code]],2,TME[[#All],[Large Provider Entity Code]],W151)/Y151,"NA")</f>
        <v>NA</v>
      </c>
      <c r="AA151" s="152" t="str">
        <f>IFERROR(SUMIFS(TME[[#All],[Total Truncated Claims Spending]],TME[[#All],[Reporting Year]],2019,TME[[#All],[Insurance Category Code]],2,TME[[#All],[Large Provider Entity Code]],W151)/Y151,"NA")</f>
        <v>NA</v>
      </c>
      <c r="AB151" s="152" t="str">
        <f>IFERROR(SUMIFS(TME[[#All],[Total Non-Claims Spending]],TME[[#All],[Reporting Year]],2019,TME[[#All],[Insurance Category Code]],2,TME[[#All],[Large Provider Entity Code]],W151)/Y151,"NA")</f>
        <v>NA</v>
      </c>
      <c r="AC151" s="152" t="str">
        <f>IFERROR(SUMIFS(TME[[#All],[Total Non-Truncated Claims and Non-Claims Spending]],TME[[#All],[Reporting Year]],2019,TME[[#All],[Insurance Category Code]],2,TME[[#All],[Large Provider Entity Code]],W151)/Y151,"NA")</f>
        <v>NA</v>
      </c>
      <c r="AD151" s="152" t="str">
        <f>IFERROR(SUMIFS(TME[[#All],[Truncated Total Expenses (Total Truncated Claims Expenses + Non-Claims Expenses)]],TME[[#All],[Reporting Year]],2019,TME[[#All],[Insurance Category Code]],2,TME[[#All],[Large Provider Entity Code]],W151)/Y151,"NA")</f>
        <v>NA</v>
      </c>
      <c r="AE151" s="141">
        <f>SUMIFS(TME[[#All],[Member Months]],TME[[#All],[Reporting Year]],2020,TME[[#All],[Insurance Category Code]],2,TME[[#All],[Large Provider Entity Code]],W151)</f>
        <v>0</v>
      </c>
      <c r="AF151" s="152" t="str">
        <f>IFERROR(SUMIFS(TME[[#All],[Total Non-Truncated Claims Spending]],TME[[#All],[Reporting Year]],2020,TME[[#All],[Insurance Category Code]],2,TME[[#All],[Large Provider Entity Code]],W151)/AE151,"NA")</f>
        <v>NA</v>
      </c>
      <c r="AG151" s="152" t="str">
        <f>IFERROR(SUMIFS(TME[[#All],[Total Truncated Claims Spending]],TME[[#All],[Reporting Year]],2020,TME[[#All],[Insurance Category Code]],2,TME[[#All],[Large Provider Entity Code]],W151)/AE151,"NA")</f>
        <v>NA</v>
      </c>
      <c r="AH151" s="152" t="str">
        <f>IFERROR(SUMIFS(TME[[#All],[Total Non-Claims Spending]],TME[[#All],[Reporting Year]],2020,TME[[#All],[Insurance Category Code]],2,TME[[#All],[Large Provider Entity Code]],W151)/AE151,"NA")</f>
        <v>NA</v>
      </c>
      <c r="AI151" s="152" t="str">
        <f>IFERROR(SUMIFS(TME[[#All],[Total Non-Truncated Claims and Non-Claims Spending]],TME[[#All],[Reporting Year]],2020,TME[[#All],[Insurance Category Code]],2,TME[[#All],[Large Provider Entity Code]],W151)/AE151,"NA")</f>
        <v>NA</v>
      </c>
      <c r="AJ151" s="152" t="str">
        <f>IFERROR(SUMIFS(TME[[#All],[Truncated Total Expenses (Total Truncated Claims Expenses + Non-Claims Expenses)]],TME[[#All],[Reporting Year]],2020,TME[[#All],[Insurance Category Code]],2,TME[[#All],[Large Provider Entity Code]],W151)/AE151,"NA")</f>
        <v>NA</v>
      </c>
      <c r="AK151" s="154" t="str">
        <f t="shared" si="252"/>
        <v>NA</v>
      </c>
      <c r="AL151" s="154" t="str">
        <f t="shared" si="253"/>
        <v>NA</v>
      </c>
      <c r="AM151" s="154" t="str">
        <f t="shared" si="254"/>
        <v>NA</v>
      </c>
      <c r="AN151" s="154" t="str">
        <f t="shared" si="255"/>
        <v>NA</v>
      </c>
      <c r="AO151" s="154" t="str">
        <f t="shared" si="256"/>
        <v>NA</v>
      </c>
      <c r="AP151" s="154" t="str">
        <f t="shared" si="257"/>
        <v>NA</v>
      </c>
      <c r="AR151" s="123">
        <v>111</v>
      </c>
      <c r="AS151" s="103" t="s">
        <v>254</v>
      </c>
      <c r="AT151" s="141">
        <f>SUMIFS(TME[[#All],[Member Months]],TME[[#All],[Reporting Year]],2020,TME[[#All],[Insurance Category Code]],2,TME[[#All],[Large Provider Entity Code]],AR151)</f>
        <v>0</v>
      </c>
      <c r="AU151" s="152" t="str">
        <f>IFERROR(SUMIFS(TME[[#All],[Total Non-Truncated Claims Spending]],TME[[#All],[Reporting Year]],2020,TME[[#All],[Insurance Category Code]],2,TME[[#All],[Large Provider Entity Code]],AR151)/AT151,"NA")</f>
        <v>NA</v>
      </c>
      <c r="AV151" s="152" t="str">
        <f>IFERROR(SUMIFS(TME[[#All],[Total Truncated Claims Spending]],TME[[#All],[Reporting Year]],2020,TME[[#All],[Insurance Category Code]],2,TME[[#All],[Large Provider Entity Code]],AR151)/AT151,"NA")</f>
        <v>NA</v>
      </c>
      <c r="AW151" s="152" t="str">
        <f>IFERROR(SUMIFS(TME[[#All],[Total Non-Claims Spending]],TME[[#All],[Reporting Year]],2020,TME[[#All],[Insurance Category Code]],2,TME[[#All],[Large Provider Entity Code]],AR151)/AT151,"NA")</f>
        <v>NA</v>
      </c>
      <c r="AX151" s="152" t="str">
        <f>IFERROR(SUMIFS(TME[[#All],[Total Non-Truncated Claims and Non-Claims Spending]],TME[[#All],[Reporting Year]],2020,TME[[#All],[Insurance Category Code]],2,TME[[#All],[Large Provider Entity Code]],AR151)/AT151,"NA")</f>
        <v>NA</v>
      </c>
      <c r="AY151" s="152" t="str">
        <f>IFERROR(SUMIFS(TME[[#All],[Truncated Total Expenses (Total Truncated Claims Expenses + Non-Claims Expenses)]],TME[[#All],[Reporting Year]],2020,TME[[#All],[Insurance Category Code]],2,TME[[#All],[Large Provider Entity Code]],AR151)/AT151,"NA")</f>
        <v>NA</v>
      </c>
      <c r="AZ151" s="141">
        <f>SUMIFS(TME[[#All],[Member Months]],TME[[#All],[Reporting Year]],2021,TME[[#All],[Insurance Category Code]],2,TME[[#All],[Large Provider Entity Code]],AR151)</f>
        <v>0</v>
      </c>
      <c r="BA151" s="152" t="str">
        <f>IFERROR(SUMIFS(TME[[#All],[Total Non-Truncated Claims Spending]],TME[[#All],[Reporting Year]],2021,TME[[#All],[Insurance Category Code]],2,TME[[#All],[Large Provider Entity Code]],AR151)/AZ151,"NA")</f>
        <v>NA</v>
      </c>
      <c r="BB151" s="152" t="str">
        <f>IFERROR(SUMIFS(TME[[#All],[Total Truncated Claims Spending]],TME[[#All],[Reporting Year]],2021,TME[[#All],[Insurance Category Code]],2,TME[[#All],[Large Provider Entity Code]],AR151)/AZ151,"NA")</f>
        <v>NA</v>
      </c>
      <c r="BC151" s="152" t="str">
        <f>IFERROR(SUMIFS(TME[[#All],[Total Non-Claims Spending]],TME[[#All],[Reporting Year]],2021,TME[[#All],[Insurance Category Code]],2,TME[[#All],[Large Provider Entity Code]],AR151)/AZ151,"NA")</f>
        <v>NA</v>
      </c>
      <c r="BD151" s="152" t="str">
        <f>IFERROR(SUMIFS(TME[[#All],[Total Non-Truncated Claims and Non-Claims Spending]],TME[[#All],[Reporting Year]],2021,TME[[#All],[Insurance Category Code]],2,TME[[#All],[Large Provider Entity Code]],AR151)/AZ151,"NA")</f>
        <v>NA</v>
      </c>
      <c r="BE151" s="152" t="str">
        <f>IFERROR(SUMIFS(TME[[#All],[Truncated Total Expenses (Total Truncated Claims Expenses + Non-Claims Expenses)]],TME[[#All],[Reporting Year]],2021,TME[[#All],[Insurance Category Code]],2,TME[[#All],[Large Provider Entity Code]],AR151)/AZ151,"NA")</f>
        <v>NA</v>
      </c>
      <c r="BF151" s="154" t="str">
        <f t="shared" si="258"/>
        <v>NA</v>
      </c>
      <c r="BG151" s="154" t="str">
        <f t="shared" si="259"/>
        <v>NA</v>
      </c>
      <c r="BH151" s="154" t="str">
        <f t="shared" si="260"/>
        <v>NA</v>
      </c>
      <c r="BI151" s="154" t="str">
        <f t="shared" si="261"/>
        <v>NA</v>
      </c>
      <c r="BJ151" s="154" t="str">
        <f t="shared" si="262"/>
        <v>NA</v>
      </c>
      <c r="BK151" s="154" t="str">
        <f t="shared" si="263"/>
        <v>NA</v>
      </c>
    </row>
    <row r="152" spans="2:63" x14ac:dyDescent="0.35">
      <c r="B152" s="123">
        <v>999</v>
      </c>
      <c r="C152" s="103" t="s">
        <v>42</v>
      </c>
      <c r="D152" s="141">
        <f>SUMIFS(TME[[#All],[Member Months]],TME[[#All],[Reporting Year]],2018,TME[[#All],[Insurance Category Code]],2,TME[[#All],[Large Provider Entity Code]],B152)</f>
        <v>0</v>
      </c>
      <c r="E152" s="152" t="str">
        <f>IFERROR(SUMIFS(TME[[#All],[Total Non-Truncated Claims Spending]],TME[[#All],[Reporting Year]],2018,TME[[#All],[Insurance Category Code]],2,TME[[#All],[Large Provider Entity Code]],B152)/D152,"NA")</f>
        <v>NA</v>
      </c>
      <c r="F152" s="152" t="str">
        <f>IFERROR(SUMIFS(TME[[#All],[Total Truncated Claims Spending]],TME[[#All],[Reporting Year]],2018,TME[[#All],[Insurance Category Code]],2,TME[[#All],[Large Provider Entity Code]],B152)/D152,"NA")</f>
        <v>NA</v>
      </c>
      <c r="G152" s="152" t="str">
        <f>IFERROR(SUMIFS(TME[[#All],[Total Non-Claims Spending]],TME[[#All],[Reporting Year]],2018,TME[[#All],[Insurance Category Code]],2,TME[[#All],[Large Provider Entity Code]],B152)/D152,"NA")</f>
        <v>NA</v>
      </c>
      <c r="H152" s="152" t="str">
        <f>IFERROR(SUMIFS(TME[[#All],[Total Non-Truncated Claims and Non-Claims Spending]],TME[[#All],[Reporting Year]],2018,TME[[#All],[Insurance Category Code]],2,TME[[#All],[Large Provider Entity Code]],B152)/D152,"NA")</f>
        <v>NA</v>
      </c>
      <c r="I152" s="152" t="str">
        <f>IFERROR(SUMIFS(TME[[#All],[Truncated Total Expenses (Total Truncated Claims Expenses + Non-Claims Expenses)]],TME[[#All],[Reporting Year]],2018,TME[[#All],[Insurance Category Code]],2,TME[[#All],[Large Provider Entity Code]],B152)/D152,"NA")</f>
        <v>NA</v>
      </c>
      <c r="J152" s="141">
        <f>SUMIFS(TME[[#All],[Member Months]],TME[[#All],[Reporting Year]],2019,TME[[#All],[Insurance Category Code]],2,TME[[#All],[Large Provider Entity Code]],B152)</f>
        <v>0</v>
      </c>
      <c r="K152" s="152" t="str">
        <f>IFERROR(SUMIFS(TME[[#All],[Total Non-Truncated Claims Spending]],TME[[#All],[Reporting Year]],2019,TME[[#All],[Insurance Category Code]],2,TME[[#All],[Large Provider Entity Code]],B152)/J152,"NA")</f>
        <v>NA</v>
      </c>
      <c r="L152" s="152" t="str">
        <f>IFERROR(SUMIFS(TME[[#All],[Total Truncated Claims Spending]],TME[[#All],[Reporting Year]],2019,TME[[#All],[Insurance Category Code]],2,TME[[#All],[Large Provider Entity Code]],B152)/J152,"NA")</f>
        <v>NA</v>
      </c>
      <c r="M152" s="152" t="str">
        <f>IFERROR(SUMIFS(TME[[#All],[Total Non-Claims Spending]],TME[[#All],[Reporting Year]],2019,TME[[#All],[Insurance Category Code]],2,TME[[#All],[Large Provider Entity Code]],B152)/J152,"NA")</f>
        <v>NA</v>
      </c>
      <c r="N152" s="152" t="str">
        <f>IFERROR(SUMIFS(TME[[#All],[Total Non-Truncated Claims and Non-Claims Spending]],TME[[#All],[Reporting Year]],2019,TME[[#All],[Insurance Category Code]],2,TME[[#All],[Large Provider Entity Code]],B152)/J152,"NA")</f>
        <v>NA</v>
      </c>
      <c r="O152" s="152" t="str">
        <f>IFERROR(SUMIFS(TME[[#All],[Truncated Total Expenses (Total Truncated Claims Expenses + Non-Claims Expenses)]],TME[[#All],[Reporting Year]],2019,TME[[#All],[Insurance Category Code]],2,TME[[#All],[Large Provider Entity Code]],B152)/J152,"NA")</f>
        <v>NA</v>
      </c>
      <c r="P152" s="154" t="str">
        <f t="shared" si="246"/>
        <v>NA</v>
      </c>
      <c r="Q152" s="154" t="str">
        <f t="shared" si="247"/>
        <v>NA</v>
      </c>
      <c r="R152" s="154" t="str">
        <f t="shared" si="248"/>
        <v>NA</v>
      </c>
      <c r="S152" s="154" t="str">
        <f t="shared" si="249"/>
        <v>NA</v>
      </c>
      <c r="T152" s="154" t="str">
        <f t="shared" si="250"/>
        <v>NA</v>
      </c>
      <c r="U152" s="154" t="str">
        <f t="shared" si="251"/>
        <v>NA</v>
      </c>
      <c r="W152" s="123">
        <v>999</v>
      </c>
      <c r="X152" s="103" t="s">
        <v>42</v>
      </c>
      <c r="Y152" s="141">
        <f>SUMIFS(TME[[#All],[Member Months]],TME[[#All],[Reporting Year]],2019,TME[[#All],[Insurance Category Code]],2,TME[[#All],[Large Provider Entity Code]],W152)</f>
        <v>0</v>
      </c>
      <c r="Z152" s="152" t="str">
        <f>IFERROR(SUMIFS(TME[[#All],[Total Non-Truncated Claims Spending]],TME[[#All],[Reporting Year]],2019,TME[[#All],[Insurance Category Code]],2,TME[[#All],[Large Provider Entity Code]],W152)/Y152,"NA")</f>
        <v>NA</v>
      </c>
      <c r="AA152" s="152" t="str">
        <f>IFERROR(SUMIFS(TME[[#All],[Total Truncated Claims Spending]],TME[[#All],[Reporting Year]],2019,TME[[#All],[Insurance Category Code]],2,TME[[#All],[Large Provider Entity Code]],W152)/Y152,"NA")</f>
        <v>NA</v>
      </c>
      <c r="AB152" s="152" t="str">
        <f>IFERROR(SUMIFS(TME[[#All],[Total Non-Claims Spending]],TME[[#All],[Reporting Year]],2019,TME[[#All],[Insurance Category Code]],2,TME[[#All],[Large Provider Entity Code]],W152)/Y152,"NA")</f>
        <v>NA</v>
      </c>
      <c r="AC152" s="152" t="str">
        <f>IFERROR(SUMIFS(TME[[#All],[Total Non-Truncated Claims and Non-Claims Spending]],TME[[#All],[Reporting Year]],2019,TME[[#All],[Insurance Category Code]],2,TME[[#All],[Large Provider Entity Code]],W152)/Y152,"NA")</f>
        <v>NA</v>
      </c>
      <c r="AD152" s="152" t="str">
        <f>IFERROR(SUMIFS(TME[[#All],[Truncated Total Expenses (Total Truncated Claims Expenses + Non-Claims Expenses)]],TME[[#All],[Reporting Year]],2019,TME[[#All],[Insurance Category Code]],2,TME[[#All],[Large Provider Entity Code]],W152)/Y152,"NA")</f>
        <v>NA</v>
      </c>
      <c r="AE152" s="141">
        <f>SUMIFS(TME[[#All],[Member Months]],TME[[#All],[Reporting Year]],2020,TME[[#All],[Insurance Category Code]],2,TME[[#All],[Large Provider Entity Code]],W152)</f>
        <v>0</v>
      </c>
      <c r="AF152" s="152" t="str">
        <f>IFERROR(SUMIFS(TME[[#All],[Total Non-Truncated Claims Spending]],TME[[#All],[Reporting Year]],2020,TME[[#All],[Insurance Category Code]],2,TME[[#All],[Large Provider Entity Code]],W152)/AE152,"NA")</f>
        <v>NA</v>
      </c>
      <c r="AG152" s="152" t="str">
        <f>IFERROR(SUMIFS(TME[[#All],[Total Truncated Claims Spending]],TME[[#All],[Reporting Year]],2020,TME[[#All],[Insurance Category Code]],2,TME[[#All],[Large Provider Entity Code]],W152)/AE152,"NA")</f>
        <v>NA</v>
      </c>
      <c r="AH152" s="152" t="str">
        <f>IFERROR(SUMIFS(TME[[#All],[Total Non-Claims Spending]],TME[[#All],[Reporting Year]],2020,TME[[#All],[Insurance Category Code]],2,TME[[#All],[Large Provider Entity Code]],W152)/AE152,"NA")</f>
        <v>NA</v>
      </c>
      <c r="AI152" s="152" t="str">
        <f>IFERROR(SUMIFS(TME[[#All],[Total Non-Truncated Claims and Non-Claims Spending]],TME[[#All],[Reporting Year]],2020,TME[[#All],[Insurance Category Code]],2,TME[[#All],[Large Provider Entity Code]],W152)/AE152,"NA")</f>
        <v>NA</v>
      </c>
      <c r="AJ152" s="152" t="str">
        <f>IFERROR(SUMIFS(TME[[#All],[Truncated Total Expenses (Total Truncated Claims Expenses + Non-Claims Expenses)]],TME[[#All],[Reporting Year]],2020,TME[[#All],[Insurance Category Code]],2,TME[[#All],[Large Provider Entity Code]],W152)/AE152,"NA")</f>
        <v>NA</v>
      </c>
      <c r="AK152" s="154" t="str">
        <f t="shared" si="252"/>
        <v>NA</v>
      </c>
      <c r="AL152" s="154" t="str">
        <f t="shared" si="253"/>
        <v>NA</v>
      </c>
      <c r="AM152" s="154" t="str">
        <f t="shared" si="254"/>
        <v>NA</v>
      </c>
      <c r="AN152" s="154" t="str">
        <f t="shared" si="255"/>
        <v>NA</v>
      </c>
      <c r="AO152" s="154" t="str">
        <f t="shared" si="256"/>
        <v>NA</v>
      </c>
      <c r="AP152" s="154" t="str">
        <f t="shared" si="257"/>
        <v>NA</v>
      </c>
      <c r="AR152" s="123">
        <v>999</v>
      </c>
      <c r="AS152" s="103" t="s">
        <v>42</v>
      </c>
      <c r="AT152" s="141">
        <f>SUMIFS(TME[[#All],[Member Months]],TME[[#All],[Reporting Year]],2020,TME[[#All],[Insurance Category Code]],2,TME[[#All],[Large Provider Entity Code]],AR152)</f>
        <v>0</v>
      </c>
      <c r="AU152" s="152" t="str">
        <f>IFERROR(SUMIFS(TME[[#All],[Total Non-Truncated Claims Spending]],TME[[#All],[Reporting Year]],2020,TME[[#All],[Insurance Category Code]],2,TME[[#All],[Large Provider Entity Code]],AR152)/AT152,"NA")</f>
        <v>NA</v>
      </c>
      <c r="AV152" s="152" t="str">
        <f>IFERROR(SUMIFS(TME[[#All],[Total Truncated Claims Spending]],TME[[#All],[Reporting Year]],2020,TME[[#All],[Insurance Category Code]],2,TME[[#All],[Large Provider Entity Code]],AR152)/AT152,"NA")</f>
        <v>NA</v>
      </c>
      <c r="AW152" s="152" t="str">
        <f>IFERROR(SUMIFS(TME[[#All],[Total Non-Claims Spending]],TME[[#All],[Reporting Year]],2020,TME[[#All],[Insurance Category Code]],2,TME[[#All],[Large Provider Entity Code]],AR152)/AT152,"NA")</f>
        <v>NA</v>
      </c>
      <c r="AX152" s="152" t="str">
        <f>IFERROR(SUMIFS(TME[[#All],[Total Non-Truncated Claims and Non-Claims Spending]],TME[[#All],[Reporting Year]],2020,TME[[#All],[Insurance Category Code]],2,TME[[#All],[Large Provider Entity Code]],AR152)/AT152,"NA")</f>
        <v>NA</v>
      </c>
      <c r="AY152" s="152" t="str">
        <f>IFERROR(SUMIFS(TME[[#All],[Truncated Total Expenses (Total Truncated Claims Expenses + Non-Claims Expenses)]],TME[[#All],[Reporting Year]],2020,TME[[#All],[Insurance Category Code]],2,TME[[#All],[Large Provider Entity Code]],AR152)/AT152,"NA")</f>
        <v>NA</v>
      </c>
      <c r="AZ152" s="141">
        <f>SUMIFS(TME[[#All],[Member Months]],TME[[#All],[Reporting Year]],2021,TME[[#All],[Insurance Category Code]],2,TME[[#All],[Large Provider Entity Code]],AR152)</f>
        <v>0</v>
      </c>
      <c r="BA152" s="152" t="str">
        <f>IFERROR(SUMIFS(TME[[#All],[Total Non-Truncated Claims Spending]],TME[[#All],[Reporting Year]],2021,TME[[#All],[Insurance Category Code]],2,TME[[#All],[Large Provider Entity Code]],AR152)/AZ152,"NA")</f>
        <v>NA</v>
      </c>
      <c r="BB152" s="152" t="str">
        <f>IFERROR(SUMIFS(TME[[#All],[Total Truncated Claims Spending]],TME[[#All],[Reporting Year]],2021,TME[[#All],[Insurance Category Code]],2,TME[[#All],[Large Provider Entity Code]],AR152)/AZ152,"NA")</f>
        <v>NA</v>
      </c>
      <c r="BC152" s="152" t="str">
        <f>IFERROR(SUMIFS(TME[[#All],[Total Non-Claims Spending]],TME[[#All],[Reporting Year]],2021,TME[[#All],[Insurance Category Code]],2,TME[[#All],[Large Provider Entity Code]],AR152)/AZ152,"NA")</f>
        <v>NA</v>
      </c>
      <c r="BD152" s="152" t="str">
        <f>IFERROR(SUMIFS(TME[[#All],[Total Non-Truncated Claims and Non-Claims Spending]],TME[[#All],[Reporting Year]],2021,TME[[#All],[Insurance Category Code]],2,TME[[#All],[Large Provider Entity Code]],AR152)/AZ152,"NA")</f>
        <v>NA</v>
      </c>
      <c r="BE152" s="152" t="str">
        <f>IFERROR(SUMIFS(TME[[#All],[Truncated Total Expenses (Total Truncated Claims Expenses + Non-Claims Expenses)]],TME[[#All],[Reporting Year]],2021,TME[[#All],[Insurance Category Code]],2,TME[[#All],[Large Provider Entity Code]],AR152)/AZ152,"NA")</f>
        <v>NA</v>
      </c>
      <c r="BF152" s="154" t="str">
        <f t="shared" si="258"/>
        <v>NA</v>
      </c>
      <c r="BG152" s="154" t="str">
        <f t="shared" si="259"/>
        <v>NA</v>
      </c>
      <c r="BH152" s="154" t="str">
        <f t="shared" si="260"/>
        <v>NA</v>
      </c>
      <c r="BI152" s="154" t="str">
        <f t="shared" si="261"/>
        <v>NA</v>
      </c>
      <c r="BJ152" s="154" t="str">
        <f t="shared" si="262"/>
        <v>NA</v>
      </c>
      <c r="BK152" s="154" t="str">
        <f t="shared" si="263"/>
        <v>NA</v>
      </c>
    </row>
    <row r="153" spans="2:63" x14ac:dyDescent="0.35">
      <c r="B153" s="79"/>
      <c r="C153" s="79" t="s">
        <v>245</v>
      </c>
      <c r="D153" s="151">
        <f>SUM(D141:D152)</f>
        <v>0</v>
      </c>
      <c r="E153" s="153" t="str">
        <f>IFERROR((SUMPRODUCT(E141:E152,D141:D152)/D153),"NA")</f>
        <v>NA</v>
      </c>
      <c r="F153" s="153" t="str">
        <f>IFERROR((SUMPRODUCT(F141:F152,D141:D152)/D153),"NA")</f>
        <v>NA</v>
      </c>
      <c r="G153" s="153" t="str">
        <f>IFERROR((SUMPRODUCT(G141:G152,D141:D152)/D153),"NA")</f>
        <v>NA</v>
      </c>
      <c r="H153" s="153" t="str">
        <f>IFERROR((SUMPRODUCT(H141:H152,D141:D152)/D153),"NA")</f>
        <v>NA</v>
      </c>
      <c r="I153" s="153" t="str">
        <f>IFERROR((SUMPRODUCT(I141:I152,D141:D152)/D153),"NA")</f>
        <v>NA</v>
      </c>
      <c r="J153" s="151">
        <f>SUM(J141:J152)</f>
        <v>0</v>
      </c>
      <c r="K153" s="153" t="str">
        <f>IFERROR((SUMPRODUCT(K141:K152,J141:J152)/J153),"NA")</f>
        <v>NA</v>
      </c>
      <c r="L153" s="153" t="str">
        <f>IFERROR((SUMPRODUCT(L141:L152,J141:J152)/J153),"NA")</f>
        <v>NA</v>
      </c>
      <c r="M153" s="153" t="str">
        <f>IFERROR((SUMPRODUCT(M141:M152,J141:J152)/J153),"NA")</f>
        <v>NA</v>
      </c>
      <c r="N153" s="153" t="str">
        <f>IFERROR((SUMPRODUCT(N141:N152,J141:J152)/J153),"NA")</f>
        <v>NA</v>
      </c>
      <c r="O153" s="153" t="str">
        <f>IFERROR((SUMPRODUCT(O141:O152,J141:J152)/J153),"NA")</f>
        <v>NA</v>
      </c>
      <c r="P153" s="155" t="str">
        <f t="shared" si="246"/>
        <v>NA</v>
      </c>
      <c r="Q153" s="155" t="str">
        <f t="shared" si="247"/>
        <v>NA</v>
      </c>
      <c r="R153" s="155" t="str">
        <f t="shared" si="248"/>
        <v>NA</v>
      </c>
      <c r="S153" s="155" t="str">
        <f t="shared" si="249"/>
        <v>NA</v>
      </c>
      <c r="T153" s="155" t="str">
        <f t="shared" si="250"/>
        <v>NA</v>
      </c>
      <c r="U153" s="155" t="str">
        <f t="shared" si="251"/>
        <v>NA</v>
      </c>
      <c r="W153" s="79"/>
      <c r="X153" s="79" t="s">
        <v>245</v>
      </c>
      <c r="Y153" s="151">
        <f>SUM(Y141:Y152)</f>
        <v>0</v>
      </c>
      <c r="Z153" s="153" t="str">
        <f>IFERROR((SUMPRODUCT(Z141:Z152,Y141:Y152)/Y153),"NA")</f>
        <v>NA</v>
      </c>
      <c r="AA153" s="153" t="str">
        <f>IFERROR((SUMPRODUCT(AA141:AA152,Y141:Y152)/Y153),"NA")</f>
        <v>NA</v>
      </c>
      <c r="AB153" s="153" t="str">
        <f>IFERROR((SUMPRODUCT(AB141:AB152,Y141:Y152)/Y153),"NA")</f>
        <v>NA</v>
      </c>
      <c r="AC153" s="153" t="str">
        <f>IFERROR((SUMPRODUCT(AC141:AC152,Y141:Y152)/Y153),"NA")</f>
        <v>NA</v>
      </c>
      <c r="AD153" s="153" t="str">
        <f>IFERROR((SUMPRODUCT(AD141:AD152,Y141:Y152)/Y153),"NA")</f>
        <v>NA</v>
      </c>
      <c r="AE153" s="151">
        <f>SUM(AE141:AE152)</f>
        <v>0</v>
      </c>
      <c r="AF153" s="153" t="str">
        <f>IFERROR((SUMPRODUCT(AF141:AF152,AE141:AE152)/AE153),"NA")</f>
        <v>NA</v>
      </c>
      <c r="AG153" s="153" t="str">
        <f>IFERROR((SUMPRODUCT(AG141:AG152,AE141:AE152)/AE153),"NA")</f>
        <v>NA</v>
      </c>
      <c r="AH153" s="153" t="str">
        <f>IFERROR((SUMPRODUCT(AH141:AH152,AE141:AE152)/AE153),"NA")</f>
        <v>NA</v>
      </c>
      <c r="AI153" s="153" t="str">
        <f>IFERROR((SUMPRODUCT(AI141:AI152,AE141:AE152)/AE153),"NA")</f>
        <v>NA</v>
      </c>
      <c r="AJ153" s="153" t="str">
        <f>IFERROR((SUMPRODUCT(AJ141:AJ152,AE141:AE152)/AE153),"NA")</f>
        <v>NA</v>
      </c>
      <c r="AK153" s="155" t="str">
        <f t="shared" si="252"/>
        <v>NA</v>
      </c>
      <c r="AL153" s="155" t="str">
        <f t="shared" si="253"/>
        <v>NA</v>
      </c>
      <c r="AM153" s="155" t="str">
        <f t="shared" si="254"/>
        <v>NA</v>
      </c>
      <c r="AN153" s="155" t="str">
        <f t="shared" si="255"/>
        <v>NA</v>
      </c>
      <c r="AO153" s="155" t="str">
        <f t="shared" si="256"/>
        <v>NA</v>
      </c>
      <c r="AP153" s="155" t="str">
        <f t="shared" si="257"/>
        <v>NA</v>
      </c>
      <c r="AR153" s="79"/>
      <c r="AS153" s="79" t="s">
        <v>245</v>
      </c>
      <c r="AT153" s="151">
        <f>SUM(AT141:AT152)</f>
        <v>0</v>
      </c>
      <c r="AU153" s="153" t="str">
        <f>IFERROR((SUMPRODUCT(AU141:AU152,AT141:AT152)/AT153),"NA")</f>
        <v>NA</v>
      </c>
      <c r="AV153" s="153" t="str">
        <f>IFERROR((SUMPRODUCT(AV141:AV152,AT141:AT152)/AT153),"NA")</f>
        <v>NA</v>
      </c>
      <c r="AW153" s="153" t="str">
        <f>IFERROR((SUMPRODUCT(AW141:AW152,AT141:AT152)/AT153),"NA")</f>
        <v>NA</v>
      </c>
      <c r="AX153" s="153" t="str">
        <f>IFERROR((SUMPRODUCT(AX141:AX152,AT141:AT152)/AT153),"NA")</f>
        <v>NA</v>
      </c>
      <c r="AY153" s="153" t="str">
        <f>IFERROR((SUMPRODUCT(AY141:AY152,AT141:AT152)/AT153),"NA")</f>
        <v>NA</v>
      </c>
      <c r="AZ153" s="151">
        <f>SUM(AZ141:AZ152)</f>
        <v>0</v>
      </c>
      <c r="BA153" s="153" t="str">
        <f>IFERROR((SUMPRODUCT(BA141:BA152,AZ141:AZ152)/AZ153),"NA")</f>
        <v>NA</v>
      </c>
      <c r="BB153" s="153" t="str">
        <f>IFERROR((SUMPRODUCT(BB141:BB152,AZ141:AZ152)/AZ153),"NA")</f>
        <v>NA</v>
      </c>
      <c r="BC153" s="153" t="str">
        <f>IFERROR((SUMPRODUCT(BC141:BC152,AZ141:AZ152)/AZ153),"NA")</f>
        <v>NA</v>
      </c>
      <c r="BD153" s="153" t="str">
        <f>IFERROR((SUMPRODUCT(BD141:BD152,AZ141:AZ152)/AZ153),"NA")</f>
        <v>NA</v>
      </c>
      <c r="BE153" s="153" t="str">
        <f>IFERROR((SUMPRODUCT(BE141:BE152,AZ141:AZ152)/AZ153),"NA")</f>
        <v>NA</v>
      </c>
      <c r="BF153" s="155" t="str">
        <f t="shared" si="258"/>
        <v>NA</v>
      </c>
      <c r="BG153" s="155" t="str">
        <f t="shared" si="259"/>
        <v>NA</v>
      </c>
      <c r="BH153" s="155" t="str">
        <f t="shared" si="260"/>
        <v>NA</v>
      </c>
      <c r="BI153" s="155" t="str">
        <f t="shared" si="261"/>
        <v>NA</v>
      </c>
      <c r="BJ153" s="155" t="str">
        <f t="shared" si="262"/>
        <v>NA</v>
      </c>
      <c r="BK153" s="155" t="str">
        <f t="shared" si="263"/>
        <v>NA</v>
      </c>
    </row>
    <row r="154" spans="2:63" x14ac:dyDescent="0.35">
      <c r="B154" s="79"/>
      <c r="C154" s="79" t="s">
        <v>246</v>
      </c>
      <c r="D154" s="151">
        <f>D153</f>
        <v>0</v>
      </c>
      <c r="E154" s="153" t="str">
        <f>IFERROR(((SUMPRODUCT(E141:E152,D141:D152))-ABS(SUMIFS(RX_REBATE[[#All],[Total Pharmacy Rebate Amount]],RX_REBATE[[#All],[Reporting Year]],2018,RX_REBATE[[#All],[Insurance Category Code]],2)))/D154,"NA")</f>
        <v>NA</v>
      </c>
      <c r="F154" s="153" t="str">
        <f>IFERROR(((SUMPRODUCT(F141:F152,D141:D152))-ABS(SUMIFS(RX_REBATE[[#All],[Total Pharmacy Rebate Amount]],RX_REBATE[[#All],[Reporting Year]],2018,RX_REBATE[[#All],[Insurance Category Code]],2)))/D154,"NA")</f>
        <v>NA</v>
      </c>
      <c r="G154" s="153" t="str">
        <f>IFERROR(((SUMPRODUCT(G141:G152,D141:D152))-ABS(SUMIFS(RX_REBATE[[#All],[Total Pharmacy Rebate Amount]],RX_REBATE[[#All],[Reporting Year]],2018,RX_REBATE[[#All],[Insurance Category Code]],2)))/D154,"NA")</f>
        <v>NA</v>
      </c>
      <c r="H154" s="153" t="str">
        <f>IFERROR(((SUMPRODUCT(H141:H152,D141:D152))-ABS(SUMIFS(RX_REBATE[[#All],[Total Pharmacy Rebate Amount]],RX_REBATE[[#All],[Reporting Year]],2018,RX_REBATE[[#All],[Insurance Category Code]],2)))/D154,"NA")</f>
        <v>NA</v>
      </c>
      <c r="I154" s="153" t="str">
        <f>IFERROR(((SUMPRODUCT(I141:I152,D141:D152))-ABS(SUMIFS(RX_REBATE[[#All],[Total Pharmacy Rebate Amount]],RX_REBATE[[#All],[Reporting Year]],2018,RX_REBATE[[#All],[Insurance Category Code]],2)))/D154,"NA")</f>
        <v>NA</v>
      </c>
      <c r="J154" s="151">
        <f t="shared" ref="J154" si="264">J153</f>
        <v>0</v>
      </c>
      <c r="K154" s="153" t="str">
        <f>IFERROR(((SUMPRODUCT(K141:K152,J141:J152))-ABS(SUMIFS(RX_REBATE[[#All],[Total Pharmacy Rebate Amount]],RX_REBATE[[#All],[Reporting Year]],2019,RX_REBATE[[#All],[Insurance Category Code]],2)))/J154,"NA")</f>
        <v>NA</v>
      </c>
      <c r="L154" s="153" t="str">
        <f>IFERROR(((SUMPRODUCT(L141:L152,J141:J152))-ABS(SUMIFS(RX_REBATE[[#All],[Total Pharmacy Rebate Amount]],RX_REBATE[[#All],[Reporting Year]],2019,RX_REBATE[[#All],[Insurance Category Code]],2)))/J154,"NA")</f>
        <v>NA</v>
      </c>
      <c r="M154" s="153" t="str">
        <f>IFERROR(((SUMPRODUCT(M141:M152,J141:J152))-ABS(SUMIFS(RX_REBATE[[#All],[Total Pharmacy Rebate Amount]],RX_REBATE[[#All],[Reporting Year]],2019,RX_REBATE[[#All],[Insurance Category Code]],2)))/J154,"NA")</f>
        <v>NA</v>
      </c>
      <c r="N154" s="153" t="str">
        <f>IFERROR(((SUMPRODUCT(N141:N152,J141:J152))-ABS(SUMIFS(RX_REBATE[[#All],[Total Pharmacy Rebate Amount]],RX_REBATE[[#All],[Reporting Year]],2019,RX_REBATE[[#All],[Insurance Category Code]],2)))/J154,"NA")</f>
        <v>NA</v>
      </c>
      <c r="O154" s="153" t="str">
        <f>IFERROR(((SUMPRODUCT(O141:O152,J141:J152))-ABS(SUMIFS(RX_REBATE[[#All],[Total Pharmacy Rebate Amount]],RX_REBATE[[#All],[Reporting Year]],2019,RX_REBATE[[#All],[Insurance Category Code]],2)))/J154,"NA")</f>
        <v>NA</v>
      </c>
      <c r="P154" s="155" t="str">
        <f t="shared" si="246"/>
        <v>NA</v>
      </c>
      <c r="Q154" s="155" t="str">
        <f t="shared" si="247"/>
        <v>NA</v>
      </c>
      <c r="R154" s="155" t="str">
        <f t="shared" si="248"/>
        <v>NA</v>
      </c>
      <c r="S154" s="155" t="str">
        <f t="shared" si="249"/>
        <v>NA</v>
      </c>
      <c r="T154" s="155" t="str">
        <f t="shared" si="250"/>
        <v>NA</v>
      </c>
      <c r="U154" s="155" t="str">
        <f t="shared" si="251"/>
        <v>NA</v>
      </c>
      <c r="W154" s="79"/>
      <c r="X154" s="79" t="s">
        <v>246</v>
      </c>
      <c r="Y154" s="151">
        <f>Y153</f>
        <v>0</v>
      </c>
      <c r="Z154" s="153" t="str">
        <f>IFERROR(((SUMPRODUCT(Z141:Z152,Y141:Y152))-ABS(SUMIFS(RX_REBATE[[#All],[Total Pharmacy Rebate Amount]],RX_REBATE[[#All],[Reporting Year]],2019,RX_REBATE[[#All],[Insurance Category Code]],2)))/Y154,"NA")</f>
        <v>NA</v>
      </c>
      <c r="AA154" s="153" t="str">
        <f>IFERROR(((SUMPRODUCT(AA141:AA152,Y141:Y152))-ABS(SUMIFS(RX_REBATE[[#All],[Total Pharmacy Rebate Amount]],RX_REBATE[[#All],[Reporting Year]],2019,RX_REBATE[[#All],[Insurance Category Code]],2)))/Y154,"NA")</f>
        <v>NA</v>
      </c>
      <c r="AB154" s="153" t="str">
        <f>IFERROR(((SUMPRODUCT(AB141:AB152,Y141:Y152))-ABS(SUMIFS(RX_REBATE[[#All],[Total Pharmacy Rebate Amount]],RX_REBATE[[#All],[Reporting Year]],2019,RX_REBATE[[#All],[Insurance Category Code]],2)))/Y154,"NA")</f>
        <v>NA</v>
      </c>
      <c r="AC154" s="153" t="str">
        <f>IFERROR(((SUMPRODUCT(AC141:AC152,Y141:Y152))-ABS(SUMIFS(RX_REBATE[[#All],[Total Pharmacy Rebate Amount]],RX_REBATE[[#All],[Reporting Year]],2019,RX_REBATE[[#All],[Insurance Category Code]],2)))/Y154,"NA")</f>
        <v>NA</v>
      </c>
      <c r="AD154" s="153" t="str">
        <f>IFERROR(((SUMPRODUCT(AD141:AD152,Y141:Y152))-ABS(SUMIFS(RX_REBATE[[#All],[Total Pharmacy Rebate Amount]],RX_REBATE[[#All],[Reporting Year]],2019,RX_REBATE[[#All],[Insurance Category Code]],2)))/Y154,"NA")</f>
        <v>NA</v>
      </c>
      <c r="AE154" s="151">
        <f t="shared" ref="AE154" si="265">AE153</f>
        <v>0</v>
      </c>
      <c r="AF154" s="153" t="str">
        <f>IFERROR(((SUMPRODUCT(AF141:AF152,AE141:AE152))-ABS(SUMIFS(RX_REBATE[[#All],[Total Pharmacy Rebate Amount]],RX_REBATE[[#All],[Reporting Year]],2020,RX_REBATE[[#All],[Insurance Category Code]],2)))/AE154,"NA")</f>
        <v>NA</v>
      </c>
      <c r="AG154" s="153" t="str">
        <f>IFERROR(((SUMPRODUCT(AG141:AG152,AE141:AE152))-ABS(SUMIFS(RX_REBATE[[#All],[Total Pharmacy Rebate Amount]],RX_REBATE[[#All],[Reporting Year]],2020,RX_REBATE[[#All],[Insurance Category Code]],2)))/AE154,"NA")</f>
        <v>NA</v>
      </c>
      <c r="AH154" s="153" t="str">
        <f>IFERROR(((SUMPRODUCT(AH141:AH152,AE141:AE152))-ABS(SUMIFS(RX_REBATE[[#All],[Total Pharmacy Rebate Amount]],RX_REBATE[[#All],[Reporting Year]],2020,RX_REBATE[[#All],[Insurance Category Code]],2)))/AE154,"NA")</f>
        <v>NA</v>
      </c>
      <c r="AI154" s="153" t="str">
        <f>IFERROR(((SUMPRODUCT(AI141:AI152,AE141:AE152))-ABS(SUMIFS(RX_REBATE[[#All],[Total Pharmacy Rebate Amount]],RX_REBATE[[#All],[Reporting Year]],2020,RX_REBATE[[#All],[Insurance Category Code]],2)))/AE154,"NA")</f>
        <v>NA</v>
      </c>
      <c r="AJ154" s="153" t="str">
        <f>IFERROR(((SUMPRODUCT(AJ141:AJ152,AE141:AE152))-ABS(SUMIFS(RX_REBATE[[#All],[Total Pharmacy Rebate Amount]],RX_REBATE[[#All],[Reporting Year]],2020,RX_REBATE[[#All],[Insurance Category Code]],2)))/AE154,"NA")</f>
        <v>NA</v>
      </c>
      <c r="AK154" s="155" t="str">
        <f t="shared" si="252"/>
        <v>NA</v>
      </c>
      <c r="AL154" s="155" t="str">
        <f t="shared" si="253"/>
        <v>NA</v>
      </c>
      <c r="AM154" s="155" t="str">
        <f t="shared" si="254"/>
        <v>NA</v>
      </c>
      <c r="AN154" s="155" t="str">
        <f t="shared" si="255"/>
        <v>NA</v>
      </c>
      <c r="AO154" s="155" t="str">
        <f t="shared" si="256"/>
        <v>NA</v>
      </c>
      <c r="AP154" s="155" t="str">
        <f t="shared" si="257"/>
        <v>NA</v>
      </c>
      <c r="AR154" s="79"/>
      <c r="AS154" s="79" t="s">
        <v>246</v>
      </c>
      <c r="AT154" s="151">
        <f>AT153</f>
        <v>0</v>
      </c>
      <c r="AU154" s="153" t="str">
        <f>IFERROR(((SUMPRODUCT(AU141:AU152,AT141:AT152))-ABS(SUMIFS(RX_REBATE[[#All],[Total Pharmacy Rebate Amount]],RX_REBATE[[#All],[Reporting Year]],2020,RX_REBATE[[#All],[Insurance Category Code]],2)))/AT154,"NA")</f>
        <v>NA</v>
      </c>
      <c r="AV154" s="153" t="str">
        <f>IFERROR(((SUMPRODUCT(AV141:AV152,AT141:AT152))-ABS(SUMIFS(RX_REBATE[[#All],[Total Pharmacy Rebate Amount]],RX_REBATE[[#All],[Reporting Year]],2020,RX_REBATE[[#All],[Insurance Category Code]],2)))/AT154,"NA")</f>
        <v>NA</v>
      </c>
      <c r="AW154" s="153" t="str">
        <f>IFERROR(((SUMPRODUCT(AW141:AW152,AT141:AT152))-ABS(SUMIFS(RX_REBATE[[#All],[Total Pharmacy Rebate Amount]],RX_REBATE[[#All],[Reporting Year]],2020,RX_REBATE[[#All],[Insurance Category Code]],2)))/AT154,"NA")</f>
        <v>NA</v>
      </c>
      <c r="AX154" s="153" t="str">
        <f>IFERROR(((SUMPRODUCT(AX141:AX152,AT141:AT152))-ABS(SUMIFS(RX_REBATE[[#All],[Total Pharmacy Rebate Amount]],RX_REBATE[[#All],[Reporting Year]],2020,RX_REBATE[[#All],[Insurance Category Code]],2)))/AT154,"NA")</f>
        <v>NA</v>
      </c>
      <c r="AY154" s="153" t="str">
        <f>IFERROR(((SUMPRODUCT(AY141:AY152,AT141:AT152))-ABS(SUMIFS(RX_REBATE[[#All],[Total Pharmacy Rebate Amount]],RX_REBATE[[#All],[Reporting Year]],2020,RX_REBATE[[#All],[Insurance Category Code]],2)))/AT154,"NA")</f>
        <v>NA</v>
      </c>
      <c r="AZ154" s="151">
        <f t="shared" ref="AZ154" si="266">AZ153</f>
        <v>0</v>
      </c>
      <c r="BA154" s="153" t="str">
        <f>IFERROR(((SUMPRODUCT(BA141:BA152,AZ141:AZ152))-ABS(SUMIFS(RX_REBATE[[#All],[Total Pharmacy Rebate Amount]],RX_REBATE[[#All],[Reporting Year]],2021,RX_REBATE[[#All],[Insurance Category Code]],2)))/AZ154,"NA")</f>
        <v>NA</v>
      </c>
      <c r="BB154" s="153" t="str">
        <f>IFERROR(((SUMPRODUCT(BB141:BB152,AZ141:AZ152))-ABS(SUMIFS(RX_REBATE[[#All],[Total Pharmacy Rebate Amount]],RX_REBATE[[#All],[Reporting Year]],2021,RX_REBATE[[#All],[Insurance Category Code]],2)))/AZ154,"NA")</f>
        <v>NA</v>
      </c>
      <c r="BC154" s="153" t="str">
        <f>IFERROR(((SUMPRODUCT(BC141:BC152,AZ141:AZ152))-ABS(SUMIFS(RX_REBATE[[#All],[Total Pharmacy Rebate Amount]],RX_REBATE[[#All],[Reporting Year]],2021,RX_REBATE[[#All],[Insurance Category Code]],2)))/AZ154,"NA")</f>
        <v>NA</v>
      </c>
      <c r="BD154" s="153" t="str">
        <f>IFERROR(((SUMPRODUCT(BD141:BD152,AZ141:AZ152))-ABS(SUMIFS(RX_REBATE[[#All],[Total Pharmacy Rebate Amount]],RX_REBATE[[#All],[Reporting Year]],2021,RX_REBATE[[#All],[Insurance Category Code]],2)))/AZ154,"NA")</f>
        <v>NA</v>
      </c>
      <c r="BE154" s="153" t="str">
        <f>IFERROR(((SUMPRODUCT(BE141:BE152,AZ141:AZ152))-ABS(SUMIFS(RX_REBATE[[#All],[Total Pharmacy Rebate Amount]],RX_REBATE[[#All],[Reporting Year]],2021,RX_REBATE[[#All],[Insurance Category Code]],2)))/AZ154,"NA")</f>
        <v>NA</v>
      </c>
      <c r="BF154" s="155" t="str">
        <f t="shared" si="258"/>
        <v>NA</v>
      </c>
      <c r="BG154" s="155" t="str">
        <f t="shared" si="259"/>
        <v>NA</v>
      </c>
      <c r="BH154" s="155" t="str">
        <f t="shared" si="260"/>
        <v>NA</v>
      </c>
      <c r="BI154" s="155" t="str">
        <f t="shared" si="261"/>
        <v>NA</v>
      </c>
      <c r="BJ154" s="155" t="str">
        <f t="shared" si="262"/>
        <v>NA</v>
      </c>
      <c r="BK154" s="155" t="str">
        <f t="shared" si="263"/>
        <v>NA</v>
      </c>
    </row>
    <row r="156" spans="2:63" x14ac:dyDescent="0.35">
      <c r="B156" s="71" t="s">
        <v>357</v>
      </c>
      <c r="W156" s="71" t="s">
        <v>358</v>
      </c>
      <c r="AR156" s="71" t="s">
        <v>356</v>
      </c>
    </row>
    <row r="157" spans="2:63" x14ac:dyDescent="0.35">
      <c r="B157" s="70" t="s">
        <v>307</v>
      </c>
      <c r="W157" s="70" t="s">
        <v>307</v>
      </c>
      <c r="AR157" s="70" t="s">
        <v>307</v>
      </c>
    </row>
    <row r="158" spans="2:63" x14ac:dyDescent="0.35">
      <c r="B158" s="218" t="s">
        <v>300</v>
      </c>
      <c r="C158" s="218"/>
      <c r="D158" s="215">
        <v>2018</v>
      </c>
      <c r="E158" s="216"/>
      <c r="F158" s="216"/>
      <c r="G158" s="216"/>
      <c r="H158" s="216"/>
      <c r="I158" s="217"/>
      <c r="J158" s="215">
        <v>2019</v>
      </c>
      <c r="K158" s="216"/>
      <c r="L158" s="216"/>
      <c r="M158" s="216"/>
      <c r="N158" s="216"/>
      <c r="O158" s="217"/>
      <c r="P158" s="218" t="s">
        <v>287</v>
      </c>
      <c r="Q158" s="218"/>
      <c r="R158" s="218"/>
      <c r="S158" s="218"/>
      <c r="T158" s="218"/>
      <c r="U158" s="218"/>
      <c r="W158" s="218" t="s">
        <v>300</v>
      </c>
      <c r="X158" s="218"/>
      <c r="Y158" s="215">
        <v>2019</v>
      </c>
      <c r="Z158" s="216"/>
      <c r="AA158" s="216"/>
      <c r="AB158" s="216"/>
      <c r="AC158" s="216"/>
      <c r="AD158" s="217"/>
      <c r="AE158" s="215">
        <v>2020</v>
      </c>
      <c r="AF158" s="216"/>
      <c r="AG158" s="216"/>
      <c r="AH158" s="216"/>
      <c r="AI158" s="216"/>
      <c r="AJ158" s="217"/>
      <c r="AK158" s="218" t="s">
        <v>288</v>
      </c>
      <c r="AL158" s="218"/>
      <c r="AM158" s="218"/>
      <c r="AN158" s="218"/>
      <c r="AO158" s="218"/>
      <c r="AP158" s="218"/>
      <c r="AR158" s="218" t="s">
        <v>300</v>
      </c>
      <c r="AS158" s="218"/>
      <c r="AT158" s="215">
        <v>2020</v>
      </c>
      <c r="AU158" s="216"/>
      <c r="AV158" s="216"/>
      <c r="AW158" s="216"/>
      <c r="AX158" s="216"/>
      <c r="AY158" s="217"/>
      <c r="AZ158" s="215">
        <v>2021</v>
      </c>
      <c r="BA158" s="216"/>
      <c r="BB158" s="216"/>
      <c r="BC158" s="216"/>
      <c r="BD158" s="216"/>
      <c r="BE158" s="217"/>
      <c r="BF158" s="218" t="s">
        <v>289</v>
      </c>
      <c r="BG158" s="218"/>
      <c r="BH158" s="218"/>
      <c r="BI158" s="218"/>
      <c r="BJ158" s="218"/>
      <c r="BK158" s="218"/>
    </row>
    <row r="159" spans="2:63" ht="43.5" x14ac:dyDescent="0.35">
      <c r="B159" s="97" t="s">
        <v>241</v>
      </c>
      <c r="C159" s="97" t="s">
        <v>242</v>
      </c>
      <c r="D159" s="97" t="s">
        <v>90</v>
      </c>
      <c r="E159" s="97" t="s">
        <v>267</v>
      </c>
      <c r="F159" s="97" t="s">
        <v>268</v>
      </c>
      <c r="G159" s="97" t="s">
        <v>243</v>
      </c>
      <c r="H159" s="97" t="s">
        <v>269</v>
      </c>
      <c r="I159" s="97" t="s">
        <v>244</v>
      </c>
      <c r="J159" s="97" t="s">
        <v>90</v>
      </c>
      <c r="K159" s="97" t="s">
        <v>267</v>
      </c>
      <c r="L159" s="97" t="s">
        <v>268</v>
      </c>
      <c r="M159" s="97" t="s">
        <v>243</v>
      </c>
      <c r="N159" s="97" t="s">
        <v>269</v>
      </c>
      <c r="O159" s="97" t="s">
        <v>244</v>
      </c>
      <c r="P159" s="97" t="s">
        <v>90</v>
      </c>
      <c r="Q159" s="97" t="s">
        <v>267</v>
      </c>
      <c r="R159" s="97" t="s">
        <v>268</v>
      </c>
      <c r="S159" s="97" t="s">
        <v>243</v>
      </c>
      <c r="T159" s="97" t="s">
        <v>269</v>
      </c>
      <c r="U159" s="97" t="s">
        <v>244</v>
      </c>
      <c r="W159" s="97" t="s">
        <v>241</v>
      </c>
      <c r="X159" s="97" t="s">
        <v>242</v>
      </c>
      <c r="Y159" s="97" t="s">
        <v>90</v>
      </c>
      <c r="Z159" s="97" t="s">
        <v>267</v>
      </c>
      <c r="AA159" s="97" t="s">
        <v>268</v>
      </c>
      <c r="AB159" s="97" t="s">
        <v>243</v>
      </c>
      <c r="AC159" s="97" t="s">
        <v>269</v>
      </c>
      <c r="AD159" s="97" t="s">
        <v>244</v>
      </c>
      <c r="AE159" s="97" t="s">
        <v>90</v>
      </c>
      <c r="AF159" s="97" t="s">
        <v>267</v>
      </c>
      <c r="AG159" s="97" t="s">
        <v>268</v>
      </c>
      <c r="AH159" s="97" t="s">
        <v>243</v>
      </c>
      <c r="AI159" s="97" t="s">
        <v>269</v>
      </c>
      <c r="AJ159" s="97" t="s">
        <v>244</v>
      </c>
      <c r="AK159" s="97" t="s">
        <v>90</v>
      </c>
      <c r="AL159" s="97" t="s">
        <v>267</v>
      </c>
      <c r="AM159" s="97" t="s">
        <v>268</v>
      </c>
      <c r="AN159" s="97" t="s">
        <v>243</v>
      </c>
      <c r="AO159" s="97" t="s">
        <v>269</v>
      </c>
      <c r="AP159" s="97" t="s">
        <v>244</v>
      </c>
      <c r="AR159" s="97" t="s">
        <v>241</v>
      </c>
      <c r="AS159" s="97" t="s">
        <v>242</v>
      </c>
      <c r="AT159" s="97" t="s">
        <v>90</v>
      </c>
      <c r="AU159" s="97" t="s">
        <v>267</v>
      </c>
      <c r="AV159" s="97" t="s">
        <v>268</v>
      </c>
      <c r="AW159" s="97" t="s">
        <v>243</v>
      </c>
      <c r="AX159" s="97" t="s">
        <v>269</v>
      </c>
      <c r="AY159" s="97" t="s">
        <v>244</v>
      </c>
      <c r="AZ159" s="97" t="s">
        <v>90</v>
      </c>
      <c r="BA159" s="97" t="s">
        <v>267</v>
      </c>
      <c r="BB159" s="97" t="s">
        <v>268</v>
      </c>
      <c r="BC159" s="97" t="s">
        <v>243</v>
      </c>
      <c r="BD159" s="97" t="s">
        <v>269</v>
      </c>
      <c r="BE159" s="97" t="s">
        <v>244</v>
      </c>
      <c r="BF159" s="97" t="s">
        <v>90</v>
      </c>
      <c r="BG159" s="97" t="s">
        <v>267</v>
      </c>
      <c r="BH159" s="97" t="s">
        <v>268</v>
      </c>
      <c r="BI159" s="97" t="s">
        <v>243</v>
      </c>
      <c r="BJ159" s="97" t="s">
        <v>269</v>
      </c>
      <c r="BK159" s="97" t="s">
        <v>244</v>
      </c>
    </row>
    <row r="160" spans="2:63" x14ac:dyDescent="0.35">
      <c r="B160" s="123">
        <v>101</v>
      </c>
      <c r="C160" s="103" t="s">
        <v>247</v>
      </c>
      <c r="D160" s="141">
        <f>SUMIFS(TME[[#All],[Member Months]],TME[[#All],[Reporting Year]],2018,TME[[#All],[Insurance Category Code]],6,TME[[#All],[Large Provider Entity Code]],B160)</f>
        <v>0</v>
      </c>
      <c r="E160" s="152" t="str">
        <f>IFERROR(SUMIFS(TME[[#All],[Total Non-Truncated Claims Spending]],TME[[#All],[Reporting Year]],2018,TME[[#All],[Insurance Category Code]],6,TME[[#All],[Large Provider Entity Code]],B160)/D160,"NA")</f>
        <v>NA</v>
      </c>
      <c r="F160" s="152" t="str">
        <f>IFERROR(SUMIFS(TME[[#All],[Total Truncated Claims Spending]],TME[[#All],[Reporting Year]],2018,TME[[#All],[Insurance Category Code]],6,TME[[#All],[Large Provider Entity Code]],B160)/D160,"NA")</f>
        <v>NA</v>
      </c>
      <c r="G160" s="152" t="str">
        <f>IFERROR(SUMIFS(TME[[#All],[Total Non-Claims Spending]],TME[[#All],[Reporting Year]],2018,TME[[#All],[Insurance Category Code]],6,TME[[#All],[Large Provider Entity Code]],B160)/D160,"NA")</f>
        <v>NA</v>
      </c>
      <c r="H160" s="152" t="str">
        <f>IFERROR(SUMIFS(TME[[#All],[Total Non-Truncated Claims and Non-Claims Spending]],TME[[#All],[Reporting Year]],2018,TME[[#All],[Insurance Category Code]],6,TME[[#All],[Large Provider Entity Code]],B160)/D160,"NA")</f>
        <v>NA</v>
      </c>
      <c r="I160" s="152" t="str">
        <f>IFERROR(SUMIFS(TME[[#All],[Truncated Total Expenses (Total Truncated Claims Expenses + Non-Claims Expenses)]],TME[[#All],[Reporting Year]],2018,TME[[#All],[Insurance Category Code]],6,TME[[#All],[Large Provider Entity Code]],B160)/D160,"NA")</f>
        <v>NA</v>
      </c>
      <c r="J160" s="141">
        <f>SUMIFS(TME[[#All],[Member Months]],TME[[#All],[Reporting Year]],2019,TME[[#All],[Insurance Category Code]],6,TME[[#All],[Large Provider Entity Code]],B160)</f>
        <v>0</v>
      </c>
      <c r="K160" s="152" t="str">
        <f>IFERROR(SUMIFS(TME[[#All],[Total Non-Truncated Claims Spending]],TME[[#All],[Reporting Year]],2019,TME[[#All],[Insurance Category Code]],6,TME[[#All],[Large Provider Entity Code]],B160)/J160,"NA")</f>
        <v>NA</v>
      </c>
      <c r="L160" s="152" t="str">
        <f>IFERROR(SUMIFS(TME[[#All],[Total Truncated Claims Spending]],TME[[#All],[Reporting Year]],2019,TME[[#All],[Insurance Category Code]],6,TME[[#All],[Large Provider Entity Code]],B160)/J160,"NA")</f>
        <v>NA</v>
      </c>
      <c r="M160" s="152" t="str">
        <f>IFERROR(SUMIFS(TME[[#All],[Total Non-Claims Spending]],TME[[#All],[Reporting Year]],2019,TME[[#All],[Insurance Category Code]],6,TME[[#All],[Large Provider Entity Code]],B160)/J160,"NA")</f>
        <v>NA</v>
      </c>
      <c r="N160" s="152" t="str">
        <f>IFERROR(SUMIFS(TME[[#All],[Total Non-Truncated Claims and Non-Claims Spending]],TME[[#All],[Reporting Year]],2019,TME[[#All],[Insurance Category Code]],6,TME[[#All],[Large Provider Entity Code]],B160)/J160,"NA")</f>
        <v>NA</v>
      </c>
      <c r="O160" s="152" t="str">
        <f>IFERROR(SUMIFS(TME[[#All],[Truncated Total Expenses (Total Truncated Claims Expenses + Non-Claims Expenses)]],TME[[#All],[Reporting Year]],2019,TME[[#All],[Insurance Category Code]],6,TME[[#All],[Large Provider Entity Code]],B160)/J160,"NA")</f>
        <v>NA</v>
      </c>
      <c r="P160" s="154" t="str">
        <f t="shared" ref="P160:P173" si="267">IFERROR((J160/D160-1),"NA")</f>
        <v>NA</v>
      </c>
      <c r="Q160" s="154" t="str">
        <f t="shared" ref="Q160:Q173" si="268">IFERROR((K160/E160-1),"NA")</f>
        <v>NA</v>
      </c>
      <c r="R160" s="154" t="str">
        <f t="shared" ref="R160:R173" si="269">IFERROR((L160/F160-1),"NA")</f>
        <v>NA</v>
      </c>
      <c r="S160" s="154" t="str">
        <f t="shared" ref="S160:S173" si="270">IFERROR((M160/G160-1),"NA")</f>
        <v>NA</v>
      </c>
      <c r="T160" s="154" t="str">
        <f t="shared" ref="T160:T173" si="271">IFERROR((N160/H160-1),"NA")</f>
        <v>NA</v>
      </c>
      <c r="U160" s="154" t="str">
        <f t="shared" ref="U160:U173" si="272">IFERROR((O160/I160-1),"NA")</f>
        <v>NA</v>
      </c>
      <c r="W160" s="123">
        <v>101</v>
      </c>
      <c r="X160" s="103" t="s">
        <v>247</v>
      </c>
      <c r="Y160" s="141">
        <f>SUMIFS(TME[[#All],[Member Months]],TME[[#All],[Reporting Year]],2019,TME[[#All],[Insurance Category Code]],6,TME[[#All],[Large Provider Entity Code]],W160)</f>
        <v>0</v>
      </c>
      <c r="Z160" s="152" t="str">
        <f>IFERROR(SUMIFS(TME[[#All],[Total Non-Truncated Claims Spending]],TME[[#All],[Reporting Year]],2019,TME[[#All],[Insurance Category Code]],6,TME[[#All],[Large Provider Entity Code]],W160)/Y160,"NA")</f>
        <v>NA</v>
      </c>
      <c r="AA160" s="152" t="str">
        <f>IFERROR(SUMIFS(TME[[#All],[Total Truncated Claims Spending]],TME[[#All],[Reporting Year]],2019,TME[[#All],[Insurance Category Code]],6,TME[[#All],[Large Provider Entity Code]],W160)/Y160,"NA")</f>
        <v>NA</v>
      </c>
      <c r="AB160" s="152" t="str">
        <f>IFERROR(SUMIFS(TME[[#All],[Total Non-Claims Spending]],TME[[#All],[Reporting Year]],2019,TME[[#All],[Insurance Category Code]],6,TME[[#All],[Large Provider Entity Code]],W160)/Y160,"NA")</f>
        <v>NA</v>
      </c>
      <c r="AC160" s="152" t="str">
        <f>IFERROR(SUMIFS(TME[[#All],[Total Non-Truncated Claims and Non-Claims Spending]],TME[[#All],[Reporting Year]],2019,TME[[#All],[Insurance Category Code]],6,TME[[#All],[Large Provider Entity Code]],W160)/Y160,"NA")</f>
        <v>NA</v>
      </c>
      <c r="AD160" s="152" t="str">
        <f>IFERROR(SUMIFS(TME[[#All],[Truncated Total Expenses (Total Truncated Claims Expenses + Non-Claims Expenses)]],TME[[#All],[Reporting Year]],2019,TME[[#All],[Insurance Category Code]],6,TME[[#All],[Large Provider Entity Code]],W160)/Y160,"NA")</f>
        <v>NA</v>
      </c>
      <c r="AE160" s="141">
        <f>SUMIFS(TME[[#All],[Member Months]],TME[[#All],[Reporting Year]],2020,TME[[#All],[Insurance Category Code]],6,TME[[#All],[Large Provider Entity Code]],W160)</f>
        <v>0</v>
      </c>
      <c r="AF160" s="152" t="str">
        <f>IFERROR(SUMIFS(TME[[#All],[Total Non-Truncated Claims Spending]],TME[[#All],[Reporting Year]],2020,TME[[#All],[Insurance Category Code]],6,TME[[#All],[Large Provider Entity Code]],W160)/AE160,"NA")</f>
        <v>NA</v>
      </c>
      <c r="AG160" s="152" t="str">
        <f>IFERROR(SUMIFS(TME[[#All],[Total Truncated Claims Spending]],TME[[#All],[Reporting Year]],2020,TME[[#All],[Insurance Category Code]],6,TME[[#All],[Large Provider Entity Code]],W160)/AE160,"NA")</f>
        <v>NA</v>
      </c>
      <c r="AH160" s="152" t="str">
        <f>IFERROR(SUMIFS(TME[[#All],[Total Non-Claims Spending]],TME[[#All],[Reporting Year]],2020,TME[[#All],[Insurance Category Code]],6,TME[[#All],[Large Provider Entity Code]],W160)/AE160,"NA")</f>
        <v>NA</v>
      </c>
      <c r="AI160" s="152" t="str">
        <f>IFERROR(SUMIFS(TME[[#All],[Total Non-Truncated Claims and Non-Claims Spending]],TME[[#All],[Reporting Year]],2020,TME[[#All],[Insurance Category Code]],6,TME[[#All],[Large Provider Entity Code]],W160)/AE160,"NA")</f>
        <v>NA</v>
      </c>
      <c r="AJ160" s="152" t="str">
        <f>IFERROR(SUMIFS(TME[[#All],[Truncated Total Expenses (Total Truncated Claims Expenses + Non-Claims Expenses)]],TME[[#All],[Reporting Year]],2020,TME[[#All],[Insurance Category Code]],6,TME[[#All],[Large Provider Entity Code]],W160)/AE160,"NA")</f>
        <v>NA</v>
      </c>
      <c r="AK160" s="154" t="str">
        <f t="shared" ref="AK160:AK173" si="273">IFERROR((AE160/Y160-1),"NA")</f>
        <v>NA</v>
      </c>
      <c r="AL160" s="154" t="str">
        <f t="shared" ref="AL160:AL173" si="274">IFERROR((AF160/Z160-1),"NA")</f>
        <v>NA</v>
      </c>
      <c r="AM160" s="154" t="str">
        <f t="shared" ref="AM160:AM173" si="275">IFERROR((AG160/AA160-1),"NA")</f>
        <v>NA</v>
      </c>
      <c r="AN160" s="154" t="str">
        <f t="shared" ref="AN160:AN173" si="276">IFERROR((AH160/AB160-1),"NA")</f>
        <v>NA</v>
      </c>
      <c r="AO160" s="154" t="str">
        <f t="shared" ref="AO160:AO173" si="277">IFERROR((AI160/AC160-1),"NA")</f>
        <v>NA</v>
      </c>
      <c r="AP160" s="154" t="str">
        <f t="shared" ref="AP160:AP173" si="278">IFERROR((AJ160/AD160-1),"NA")</f>
        <v>NA</v>
      </c>
      <c r="AR160" s="123">
        <v>101</v>
      </c>
      <c r="AS160" s="103" t="s">
        <v>247</v>
      </c>
      <c r="AT160" s="141">
        <f>SUMIFS(TME[[#All],[Member Months]],TME[[#All],[Reporting Year]],2020,TME[[#All],[Insurance Category Code]],6,TME[[#All],[Large Provider Entity Code]],AR160)</f>
        <v>0</v>
      </c>
      <c r="AU160" s="152" t="str">
        <f>IFERROR(SUMIFS(TME[[#All],[Total Non-Truncated Claims Spending]],TME[[#All],[Reporting Year]],2020,TME[[#All],[Insurance Category Code]],6,TME[[#All],[Large Provider Entity Code]],AR160)/AT160,"NA")</f>
        <v>NA</v>
      </c>
      <c r="AV160" s="152" t="str">
        <f>IFERROR(SUMIFS(TME[[#All],[Total Truncated Claims Spending]],TME[[#All],[Reporting Year]],2020,TME[[#All],[Insurance Category Code]],6,TME[[#All],[Large Provider Entity Code]],AR160)/AT160,"NA")</f>
        <v>NA</v>
      </c>
      <c r="AW160" s="152" t="str">
        <f>IFERROR(SUMIFS(TME[[#All],[Total Non-Claims Spending]],TME[[#All],[Reporting Year]],2020,TME[[#All],[Insurance Category Code]],6,TME[[#All],[Large Provider Entity Code]],AR160)/AT160,"NA")</f>
        <v>NA</v>
      </c>
      <c r="AX160" s="152" t="str">
        <f>IFERROR(SUMIFS(TME[[#All],[Total Non-Truncated Claims and Non-Claims Spending]],TME[[#All],[Reporting Year]],2020,TME[[#All],[Insurance Category Code]],6,TME[[#All],[Large Provider Entity Code]],AR160)/AT160,"NA")</f>
        <v>NA</v>
      </c>
      <c r="AY160" s="152" t="str">
        <f>IFERROR(SUMIFS(TME[[#All],[Truncated Total Expenses (Total Truncated Claims Expenses + Non-Claims Expenses)]],TME[[#All],[Reporting Year]],2020,TME[[#All],[Insurance Category Code]],6,TME[[#All],[Large Provider Entity Code]],AR160)/AT160,"NA")</f>
        <v>NA</v>
      </c>
      <c r="AZ160" s="141">
        <f>SUMIFS(TME[[#All],[Member Months]],TME[[#All],[Reporting Year]],2021,TME[[#All],[Insurance Category Code]],6,TME[[#All],[Large Provider Entity Code]],AR160)</f>
        <v>0</v>
      </c>
      <c r="BA160" s="152" t="str">
        <f>IFERROR(SUMIFS(TME[[#All],[Total Non-Truncated Claims Spending]],TME[[#All],[Reporting Year]],2021,TME[[#All],[Insurance Category Code]],6,TME[[#All],[Large Provider Entity Code]],AR160)/AZ160,"NA")</f>
        <v>NA</v>
      </c>
      <c r="BB160" s="152" t="str">
        <f>IFERROR(SUMIFS(TME[[#All],[Total Truncated Claims Spending]],TME[[#All],[Reporting Year]],2021,TME[[#All],[Insurance Category Code]],6,TME[[#All],[Large Provider Entity Code]],AR160)/AZ160,"NA")</f>
        <v>NA</v>
      </c>
      <c r="BC160" s="152" t="str">
        <f>IFERROR(SUMIFS(TME[[#All],[Total Non-Claims Spending]],TME[[#All],[Reporting Year]],2021,TME[[#All],[Insurance Category Code]],6,TME[[#All],[Large Provider Entity Code]],AR160)/AZ160,"NA")</f>
        <v>NA</v>
      </c>
      <c r="BD160" s="152" t="str">
        <f>IFERROR(SUMIFS(TME[[#All],[Total Non-Truncated Claims and Non-Claims Spending]],TME[[#All],[Reporting Year]],2021,TME[[#All],[Insurance Category Code]],6,TME[[#All],[Large Provider Entity Code]],AR160)/AZ160,"NA")</f>
        <v>NA</v>
      </c>
      <c r="BE160" s="152" t="str">
        <f>IFERROR(SUMIFS(TME[[#All],[Truncated Total Expenses (Total Truncated Claims Expenses + Non-Claims Expenses)]],TME[[#All],[Reporting Year]],2021,TME[[#All],[Insurance Category Code]],6,TME[[#All],[Large Provider Entity Code]],AR160)/AZ160,"NA")</f>
        <v>NA</v>
      </c>
      <c r="BF160" s="154" t="str">
        <f t="shared" ref="BF160:BF173" si="279">IFERROR((AZ160/AT160-1),"NA")</f>
        <v>NA</v>
      </c>
      <c r="BG160" s="154" t="str">
        <f t="shared" ref="BG160:BG173" si="280">IFERROR((BA160/AU160-1),"NA")</f>
        <v>NA</v>
      </c>
      <c r="BH160" s="154" t="str">
        <f t="shared" ref="BH160:BH173" si="281">IFERROR((BB160/AV160-1),"NA")</f>
        <v>NA</v>
      </c>
      <c r="BI160" s="154" t="str">
        <f t="shared" ref="BI160:BI173" si="282">IFERROR((BC160/AW160-1),"NA")</f>
        <v>NA</v>
      </c>
      <c r="BJ160" s="154" t="str">
        <f t="shared" ref="BJ160:BJ173" si="283">IFERROR((BD160/AX160-1),"NA")</f>
        <v>NA</v>
      </c>
      <c r="BK160" s="154" t="str">
        <f t="shared" ref="BK160:BK173" si="284">IFERROR((BE160/AY160-1),"NA")</f>
        <v>NA</v>
      </c>
    </row>
    <row r="161" spans="2:63" x14ac:dyDescent="0.35">
      <c r="B161" s="123">
        <v>102</v>
      </c>
      <c r="C161" s="103" t="s">
        <v>292</v>
      </c>
      <c r="D161" s="141">
        <f>SUMIFS(TME[[#All],[Member Months]],TME[[#All],[Reporting Year]],2018,TME[[#All],[Insurance Category Code]],6,TME[[#All],[Large Provider Entity Code]],B161)</f>
        <v>0</v>
      </c>
      <c r="E161" s="152" t="str">
        <f>IFERROR(SUMIFS(TME[[#All],[Total Non-Truncated Claims Spending]],TME[[#All],[Reporting Year]],2018,TME[[#All],[Insurance Category Code]],6,TME[[#All],[Large Provider Entity Code]],B161)/D161,"NA")</f>
        <v>NA</v>
      </c>
      <c r="F161" s="152" t="str">
        <f>IFERROR(SUMIFS(TME[[#All],[Total Truncated Claims Spending]],TME[[#All],[Reporting Year]],2018,TME[[#All],[Insurance Category Code]],6,TME[[#All],[Large Provider Entity Code]],B161)/D161,"NA")</f>
        <v>NA</v>
      </c>
      <c r="G161" s="152" t="str">
        <f>IFERROR(SUMIFS(TME[[#All],[Total Non-Claims Spending]],TME[[#All],[Reporting Year]],2018,TME[[#All],[Insurance Category Code]],6,TME[[#All],[Large Provider Entity Code]],B161)/D161,"NA")</f>
        <v>NA</v>
      </c>
      <c r="H161" s="152" t="str">
        <f>IFERROR(SUMIFS(TME[[#All],[Total Non-Truncated Claims and Non-Claims Spending]],TME[[#All],[Reporting Year]],2018,TME[[#All],[Insurance Category Code]],6,TME[[#All],[Large Provider Entity Code]],B161)/D161,"NA")</f>
        <v>NA</v>
      </c>
      <c r="I161" s="152" t="str">
        <f>IFERROR(SUMIFS(TME[[#All],[Truncated Total Expenses (Total Truncated Claims Expenses + Non-Claims Expenses)]],TME[[#All],[Reporting Year]],2018,TME[[#All],[Insurance Category Code]],6,TME[[#All],[Large Provider Entity Code]],B161)/D161,"NA")</f>
        <v>NA</v>
      </c>
      <c r="J161" s="141">
        <f>SUMIFS(TME[[#All],[Member Months]],TME[[#All],[Reporting Year]],2019,TME[[#All],[Insurance Category Code]],6,TME[[#All],[Large Provider Entity Code]],B161)</f>
        <v>0</v>
      </c>
      <c r="K161" s="152" t="str">
        <f>IFERROR(SUMIFS(TME[[#All],[Total Non-Truncated Claims Spending]],TME[[#All],[Reporting Year]],2019,TME[[#All],[Insurance Category Code]],6,TME[[#All],[Large Provider Entity Code]],B161)/J161,"NA")</f>
        <v>NA</v>
      </c>
      <c r="L161" s="152" t="str">
        <f>IFERROR(SUMIFS(TME[[#All],[Total Truncated Claims Spending]],TME[[#All],[Reporting Year]],2019,TME[[#All],[Insurance Category Code]],6,TME[[#All],[Large Provider Entity Code]],B161)/J161,"NA")</f>
        <v>NA</v>
      </c>
      <c r="M161" s="152" t="str">
        <f>IFERROR(SUMIFS(TME[[#All],[Total Non-Claims Spending]],TME[[#All],[Reporting Year]],2019,TME[[#All],[Insurance Category Code]],6,TME[[#All],[Large Provider Entity Code]],B161)/J161,"NA")</f>
        <v>NA</v>
      </c>
      <c r="N161" s="152" t="str">
        <f>IFERROR(SUMIFS(TME[[#All],[Total Non-Truncated Claims and Non-Claims Spending]],TME[[#All],[Reporting Year]],2019,TME[[#All],[Insurance Category Code]],6,TME[[#All],[Large Provider Entity Code]],B161)/J161,"NA")</f>
        <v>NA</v>
      </c>
      <c r="O161" s="152" t="str">
        <f>IFERROR(SUMIFS(TME[[#All],[Truncated Total Expenses (Total Truncated Claims Expenses + Non-Claims Expenses)]],TME[[#All],[Reporting Year]],2019,TME[[#All],[Insurance Category Code]],6,TME[[#All],[Large Provider Entity Code]],B161)/J161,"NA")</f>
        <v>NA</v>
      </c>
      <c r="P161" s="154" t="str">
        <f t="shared" si="267"/>
        <v>NA</v>
      </c>
      <c r="Q161" s="154" t="str">
        <f t="shared" si="268"/>
        <v>NA</v>
      </c>
      <c r="R161" s="154" t="str">
        <f t="shared" si="269"/>
        <v>NA</v>
      </c>
      <c r="S161" s="154" t="str">
        <f t="shared" si="270"/>
        <v>NA</v>
      </c>
      <c r="T161" s="154" t="str">
        <f t="shared" si="271"/>
        <v>NA</v>
      </c>
      <c r="U161" s="154" t="str">
        <f t="shared" si="272"/>
        <v>NA</v>
      </c>
      <c r="W161" s="123">
        <v>102</v>
      </c>
      <c r="X161" s="103" t="s">
        <v>292</v>
      </c>
      <c r="Y161" s="141">
        <f>SUMIFS(TME[[#All],[Member Months]],TME[[#All],[Reporting Year]],2019,TME[[#All],[Insurance Category Code]],6,TME[[#All],[Large Provider Entity Code]],W161)</f>
        <v>0</v>
      </c>
      <c r="Z161" s="152" t="str">
        <f>IFERROR(SUMIFS(TME[[#All],[Total Non-Truncated Claims Spending]],TME[[#All],[Reporting Year]],2019,TME[[#All],[Insurance Category Code]],6,TME[[#All],[Large Provider Entity Code]],W161)/Y161,"NA")</f>
        <v>NA</v>
      </c>
      <c r="AA161" s="152" t="str">
        <f>IFERROR(SUMIFS(TME[[#All],[Total Truncated Claims Spending]],TME[[#All],[Reporting Year]],2019,TME[[#All],[Insurance Category Code]],6,TME[[#All],[Large Provider Entity Code]],W161)/Y161,"NA")</f>
        <v>NA</v>
      </c>
      <c r="AB161" s="152" t="str">
        <f>IFERROR(SUMIFS(TME[[#All],[Total Non-Claims Spending]],TME[[#All],[Reporting Year]],2019,TME[[#All],[Insurance Category Code]],6,TME[[#All],[Large Provider Entity Code]],W161)/Y161,"NA")</f>
        <v>NA</v>
      </c>
      <c r="AC161" s="152" t="str">
        <f>IFERROR(SUMIFS(TME[[#All],[Total Non-Truncated Claims and Non-Claims Spending]],TME[[#All],[Reporting Year]],2019,TME[[#All],[Insurance Category Code]],6,TME[[#All],[Large Provider Entity Code]],W161)/Y161,"NA")</f>
        <v>NA</v>
      </c>
      <c r="AD161" s="152" t="str">
        <f>IFERROR(SUMIFS(TME[[#All],[Truncated Total Expenses (Total Truncated Claims Expenses + Non-Claims Expenses)]],TME[[#All],[Reporting Year]],2019,TME[[#All],[Insurance Category Code]],6,TME[[#All],[Large Provider Entity Code]],W161)/Y161,"NA")</f>
        <v>NA</v>
      </c>
      <c r="AE161" s="141">
        <f>SUMIFS(TME[[#All],[Member Months]],TME[[#All],[Reporting Year]],2020,TME[[#All],[Insurance Category Code]],6,TME[[#All],[Large Provider Entity Code]],W161)</f>
        <v>0</v>
      </c>
      <c r="AF161" s="152" t="str">
        <f>IFERROR(SUMIFS(TME[[#All],[Total Non-Truncated Claims Spending]],TME[[#All],[Reporting Year]],2020,TME[[#All],[Insurance Category Code]],6,TME[[#All],[Large Provider Entity Code]],W161)/AE161,"NA")</f>
        <v>NA</v>
      </c>
      <c r="AG161" s="152" t="str">
        <f>IFERROR(SUMIFS(TME[[#All],[Total Truncated Claims Spending]],TME[[#All],[Reporting Year]],2020,TME[[#All],[Insurance Category Code]],6,TME[[#All],[Large Provider Entity Code]],W161)/AE161,"NA")</f>
        <v>NA</v>
      </c>
      <c r="AH161" s="152" t="str">
        <f>IFERROR(SUMIFS(TME[[#All],[Total Non-Claims Spending]],TME[[#All],[Reporting Year]],2020,TME[[#All],[Insurance Category Code]],6,TME[[#All],[Large Provider Entity Code]],W161)/AE161,"NA")</f>
        <v>NA</v>
      </c>
      <c r="AI161" s="152" t="str">
        <f>IFERROR(SUMIFS(TME[[#All],[Total Non-Truncated Claims and Non-Claims Spending]],TME[[#All],[Reporting Year]],2020,TME[[#All],[Insurance Category Code]],6,TME[[#All],[Large Provider Entity Code]],W161)/AE161,"NA")</f>
        <v>NA</v>
      </c>
      <c r="AJ161" s="152" t="str">
        <f>IFERROR(SUMIFS(TME[[#All],[Truncated Total Expenses (Total Truncated Claims Expenses + Non-Claims Expenses)]],TME[[#All],[Reporting Year]],2020,TME[[#All],[Insurance Category Code]],6,TME[[#All],[Large Provider Entity Code]],W161)/AE161,"NA")</f>
        <v>NA</v>
      </c>
      <c r="AK161" s="154" t="str">
        <f t="shared" si="273"/>
        <v>NA</v>
      </c>
      <c r="AL161" s="154" t="str">
        <f t="shared" si="274"/>
        <v>NA</v>
      </c>
      <c r="AM161" s="154" t="str">
        <f t="shared" si="275"/>
        <v>NA</v>
      </c>
      <c r="AN161" s="154" t="str">
        <f t="shared" si="276"/>
        <v>NA</v>
      </c>
      <c r="AO161" s="154" t="str">
        <f t="shared" si="277"/>
        <v>NA</v>
      </c>
      <c r="AP161" s="154" t="str">
        <f t="shared" si="278"/>
        <v>NA</v>
      </c>
      <c r="AR161" s="123">
        <v>102</v>
      </c>
      <c r="AS161" s="103" t="s">
        <v>292</v>
      </c>
      <c r="AT161" s="141">
        <f>SUMIFS(TME[[#All],[Member Months]],TME[[#All],[Reporting Year]],2020,TME[[#All],[Insurance Category Code]],6,TME[[#All],[Large Provider Entity Code]],AR161)</f>
        <v>0</v>
      </c>
      <c r="AU161" s="152" t="str">
        <f>IFERROR(SUMIFS(TME[[#All],[Total Non-Truncated Claims Spending]],TME[[#All],[Reporting Year]],2020,TME[[#All],[Insurance Category Code]],6,TME[[#All],[Large Provider Entity Code]],AR161)/AT161,"NA")</f>
        <v>NA</v>
      </c>
      <c r="AV161" s="152" t="str">
        <f>IFERROR(SUMIFS(TME[[#All],[Total Truncated Claims Spending]],TME[[#All],[Reporting Year]],2020,TME[[#All],[Insurance Category Code]],6,TME[[#All],[Large Provider Entity Code]],AR161)/AT161,"NA")</f>
        <v>NA</v>
      </c>
      <c r="AW161" s="152" t="str">
        <f>IFERROR(SUMIFS(TME[[#All],[Total Non-Claims Spending]],TME[[#All],[Reporting Year]],2020,TME[[#All],[Insurance Category Code]],6,TME[[#All],[Large Provider Entity Code]],AR161)/AT161,"NA")</f>
        <v>NA</v>
      </c>
      <c r="AX161" s="152" t="str">
        <f>IFERROR(SUMIFS(TME[[#All],[Total Non-Truncated Claims and Non-Claims Spending]],TME[[#All],[Reporting Year]],2020,TME[[#All],[Insurance Category Code]],6,TME[[#All],[Large Provider Entity Code]],AR161)/AT161,"NA")</f>
        <v>NA</v>
      </c>
      <c r="AY161" s="152" t="str">
        <f>IFERROR(SUMIFS(TME[[#All],[Truncated Total Expenses (Total Truncated Claims Expenses + Non-Claims Expenses)]],TME[[#All],[Reporting Year]],2020,TME[[#All],[Insurance Category Code]],6,TME[[#All],[Large Provider Entity Code]],AR161)/AT161,"NA")</f>
        <v>NA</v>
      </c>
      <c r="AZ161" s="141">
        <f>SUMIFS(TME[[#All],[Member Months]],TME[[#All],[Reporting Year]],2021,TME[[#All],[Insurance Category Code]],6,TME[[#All],[Large Provider Entity Code]],AR161)</f>
        <v>0</v>
      </c>
      <c r="BA161" s="152" t="str">
        <f>IFERROR(SUMIFS(TME[[#All],[Total Non-Truncated Claims Spending]],TME[[#All],[Reporting Year]],2021,TME[[#All],[Insurance Category Code]],6,TME[[#All],[Large Provider Entity Code]],AR161)/AZ161,"NA")</f>
        <v>NA</v>
      </c>
      <c r="BB161" s="152" t="str">
        <f>IFERROR(SUMIFS(TME[[#All],[Total Truncated Claims Spending]],TME[[#All],[Reporting Year]],2021,TME[[#All],[Insurance Category Code]],6,TME[[#All],[Large Provider Entity Code]],AR161)/AZ161,"NA")</f>
        <v>NA</v>
      </c>
      <c r="BC161" s="152" t="str">
        <f>IFERROR(SUMIFS(TME[[#All],[Total Non-Claims Spending]],TME[[#All],[Reporting Year]],2021,TME[[#All],[Insurance Category Code]],6,TME[[#All],[Large Provider Entity Code]],AR161)/AZ161,"NA")</f>
        <v>NA</v>
      </c>
      <c r="BD161" s="152" t="str">
        <f>IFERROR(SUMIFS(TME[[#All],[Total Non-Truncated Claims and Non-Claims Spending]],TME[[#All],[Reporting Year]],2021,TME[[#All],[Insurance Category Code]],6,TME[[#All],[Large Provider Entity Code]],AR161)/AZ161,"NA")</f>
        <v>NA</v>
      </c>
      <c r="BE161" s="152" t="str">
        <f>IFERROR(SUMIFS(TME[[#All],[Truncated Total Expenses (Total Truncated Claims Expenses + Non-Claims Expenses)]],TME[[#All],[Reporting Year]],2021,TME[[#All],[Insurance Category Code]],6,TME[[#All],[Large Provider Entity Code]],AR161)/AZ161,"NA")</f>
        <v>NA</v>
      </c>
      <c r="BF161" s="154" t="str">
        <f t="shared" si="279"/>
        <v>NA</v>
      </c>
      <c r="BG161" s="154" t="str">
        <f t="shared" si="280"/>
        <v>NA</v>
      </c>
      <c r="BH161" s="154" t="str">
        <f t="shared" si="281"/>
        <v>NA</v>
      </c>
      <c r="BI161" s="154" t="str">
        <f t="shared" si="282"/>
        <v>NA</v>
      </c>
      <c r="BJ161" s="154" t="str">
        <f t="shared" si="283"/>
        <v>NA</v>
      </c>
      <c r="BK161" s="154" t="str">
        <f t="shared" si="284"/>
        <v>NA</v>
      </c>
    </row>
    <row r="162" spans="2:63" x14ac:dyDescent="0.35">
      <c r="B162" s="123">
        <v>103</v>
      </c>
      <c r="C162" s="103" t="s">
        <v>248</v>
      </c>
      <c r="D162" s="141">
        <f>SUMIFS(TME[[#All],[Member Months]],TME[[#All],[Reporting Year]],2018,TME[[#All],[Insurance Category Code]],6,TME[[#All],[Large Provider Entity Code]],B162)</f>
        <v>0</v>
      </c>
      <c r="E162" s="152" t="str">
        <f>IFERROR(SUMIFS(TME[[#All],[Total Non-Truncated Claims Spending]],TME[[#All],[Reporting Year]],2018,TME[[#All],[Insurance Category Code]],6,TME[[#All],[Large Provider Entity Code]],B162)/D162,"NA")</f>
        <v>NA</v>
      </c>
      <c r="F162" s="152" t="str">
        <f>IFERROR(SUMIFS(TME[[#All],[Total Truncated Claims Spending]],TME[[#All],[Reporting Year]],2018,TME[[#All],[Insurance Category Code]],6,TME[[#All],[Large Provider Entity Code]],B162)/D162,"NA")</f>
        <v>NA</v>
      </c>
      <c r="G162" s="152" t="str">
        <f>IFERROR(SUMIFS(TME[[#All],[Total Non-Claims Spending]],TME[[#All],[Reporting Year]],2018,TME[[#All],[Insurance Category Code]],6,TME[[#All],[Large Provider Entity Code]],B162)/D162,"NA")</f>
        <v>NA</v>
      </c>
      <c r="H162" s="152" t="str">
        <f>IFERROR(SUMIFS(TME[[#All],[Total Non-Truncated Claims and Non-Claims Spending]],TME[[#All],[Reporting Year]],2018,TME[[#All],[Insurance Category Code]],6,TME[[#All],[Large Provider Entity Code]],B162)/D162,"NA")</f>
        <v>NA</v>
      </c>
      <c r="I162" s="152" t="str">
        <f>IFERROR(SUMIFS(TME[[#All],[Truncated Total Expenses (Total Truncated Claims Expenses + Non-Claims Expenses)]],TME[[#All],[Reporting Year]],2018,TME[[#All],[Insurance Category Code]],6,TME[[#All],[Large Provider Entity Code]],B162)/D162,"NA")</f>
        <v>NA</v>
      </c>
      <c r="J162" s="141">
        <f>SUMIFS(TME[[#All],[Member Months]],TME[[#All],[Reporting Year]],2019,TME[[#All],[Insurance Category Code]],6,TME[[#All],[Large Provider Entity Code]],B162)</f>
        <v>0</v>
      </c>
      <c r="K162" s="152" t="str">
        <f>IFERROR(SUMIFS(TME[[#All],[Total Non-Truncated Claims Spending]],TME[[#All],[Reporting Year]],2019,TME[[#All],[Insurance Category Code]],6,TME[[#All],[Large Provider Entity Code]],B162)/J162,"NA")</f>
        <v>NA</v>
      </c>
      <c r="L162" s="152" t="str">
        <f>IFERROR(SUMIFS(TME[[#All],[Total Truncated Claims Spending]],TME[[#All],[Reporting Year]],2019,TME[[#All],[Insurance Category Code]],6,TME[[#All],[Large Provider Entity Code]],B162)/J162,"NA")</f>
        <v>NA</v>
      </c>
      <c r="M162" s="152" t="str">
        <f>IFERROR(SUMIFS(TME[[#All],[Total Non-Claims Spending]],TME[[#All],[Reporting Year]],2019,TME[[#All],[Insurance Category Code]],6,TME[[#All],[Large Provider Entity Code]],B162)/J162,"NA")</f>
        <v>NA</v>
      </c>
      <c r="N162" s="152" t="str">
        <f>IFERROR(SUMIFS(TME[[#All],[Total Non-Truncated Claims and Non-Claims Spending]],TME[[#All],[Reporting Year]],2019,TME[[#All],[Insurance Category Code]],6,TME[[#All],[Large Provider Entity Code]],B162)/J162,"NA")</f>
        <v>NA</v>
      </c>
      <c r="O162" s="152" t="str">
        <f>IFERROR(SUMIFS(TME[[#All],[Truncated Total Expenses (Total Truncated Claims Expenses + Non-Claims Expenses)]],TME[[#All],[Reporting Year]],2019,TME[[#All],[Insurance Category Code]],6,TME[[#All],[Large Provider Entity Code]],B162)/J162,"NA")</f>
        <v>NA</v>
      </c>
      <c r="P162" s="154" t="str">
        <f t="shared" si="267"/>
        <v>NA</v>
      </c>
      <c r="Q162" s="154" t="str">
        <f t="shared" si="268"/>
        <v>NA</v>
      </c>
      <c r="R162" s="154" t="str">
        <f t="shared" si="269"/>
        <v>NA</v>
      </c>
      <c r="S162" s="154" t="str">
        <f t="shared" si="270"/>
        <v>NA</v>
      </c>
      <c r="T162" s="154" t="str">
        <f t="shared" si="271"/>
        <v>NA</v>
      </c>
      <c r="U162" s="154" t="str">
        <f t="shared" si="272"/>
        <v>NA</v>
      </c>
      <c r="W162" s="123">
        <v>103</v>
      </c>
      <c r="X162" s="103" t="s">
        <v>248</v>
      </c>
      <c r="Y162" s="141">
        <f>SUMIFS(TME[[#All],[Member Months]],TME[[#All],[Reporting Year]],2019,TME[[#All],[Insurance Category Code]],6,TME[[#All],[Large Provider Entity Code]],W162)</f>
        <v>0</v>
      </c>
      <c r="Z162" s="152" t="str">
        <f>IFERROR(SUMIFS(TME[[#All],[Total Non-Truncated Claims Spending]],TME[[#All],[Reporting Year]],2019,TME[[#All],[Insurance Category Code]],6,TME[[#All],[Large Provider Entity Code]],W162)/Y162,"NA")</f>
        <v>NA</v>
      </c>
      <c r="AA162" s="152" t="str">
        <f>IFERROR(SUMIFS(TME[[#All],[Total Truncated Claims Spending]],TME[[#All],[Reporting Year]],2019,TME[[#All],[Insurance Category Code]],6,TME[[#All],[Large Provider Entity Code]],W162)/Y162,"NA")</f>
        <v>NA</v>
      </c>
      <c r="AB162" s="152" t="str">
        <f>IFERROR(SUMIFS(TME[[#All],[Total Non-Claims Spending]],TME[[#All],[Reporting Year]],2019,TME[[#All],[Insurance Category Code]],6,TME[[#All],[Large Provider Entity Code]],W162)/Y162,"NA")</f>
        <v>NA</v>
      </c>
      <c r="AC162" s="152" t="str">
        <f>IFERROR(SUMIFS(TME[[#All],[Total Non-Truncated Claims and Non-Claims Spending]],TME[[#All],[Reporting Year]],2019,TME[[#All],[Insurance Category Code]],6,TME[[#All],[Large Provider Entity Code]],W162)/Y162,"NA")</f>
        <v>NA</v>
      </c>
      <c r="AD162" s="152" t="str">
        <f>IFERROR(SUMIFS(TME[[#All],[Truncated Total Expenses (Total Truncated Claims Expenses + Non-Claims Expenses)]],TME[[#All],[Reporting Year]],2019,TME[[#All],[Insurance Category Code]],6,TME[[#All],[Large Provider Entity Code]],W162)/Y162,"NA")</f>
        <v>NA</v>
      </c>
      <c r="AE162" s="141">
        <f>SUMIFS(TME[[#All],[Member Months]],TME[[#All],[Reporting Year]],2020,TME[[#All],[Insurance Category Code]],6,TME[[#All],[Large Provider Entity Code]],W162)</f>
        <v>0</v>
      </c>
      <c r="AF162" s="152" t="str">
        <f>IFERROR(SUMIFS(TME[[#All],[Total Non-Truncated Claims Spending]],TME[[#All],[Reporting Year]],2020,TME[[#All],[Insurance Category Code]],6,TME[[#All],[Large Provider Entity Code]],W162)/AE162,"NA")</f>
        <v>NA</v>
      </c>
      <c r="AG162" s="152" t="str">
        <f>IFERROR(SUMIFS(TME[[#All],[Total Truncated Claims Spending]],TME[[#All],[Reporting Year]],2020,TME[[#All],[Insurance Category Code]],6,TME[[#All],[Large Provider Entity Code]],W162)/AE162,"NA")</f>
        <v>NA</v>
      </c>
      <c r="AH162" s="152" t="str">
        <f>IFERROR(SUMIFS(TME[[#All],[Total Non-Claims Spending]],TME[[#All],[Reporting Year]],2020,TME[[#All],[Insurance Category Code]],6,TME[[#All],[Large Provider Entity Code]],W162)/AE162,"NA")</f>
        <v>NA</v>
      </c>
      <c r="AI162" s="152" t="str">
        <f>IFERROR(SUMIFS(TME[[#All],[Total Non-Truncated Claims and Non-Claims Spending]],TME[[#All],[Reporting Year]],2020,TME[[#All],[Insurance Category Code]],6,TME[[#All],[Large Provider Entity Code]],W162)/AE162,"NA")</f>
        <v>NA</v>
      </c>
      <c r="AJ162" s="152" t="str">
        <f>IFERROR(SUMIFS(TME[[#All],[Truncated Total Expenses (Total Truncated Claims Expenses + Non-Claims Expenses)]],TME[[#All],[Reporting Year]],2020,TME[[#All],[Insurance Category Code]],6,TME[[#All],[Large Provider Entity Code]],W162)/AE162,"NA")</f>
        <v>NA</v>
      </c>
      <c r="AK162" s="154" t="str">
        <f t="shared" si="273"/>
        <v>NA</v>
      </c>
      <c r="AL162" s="154" t="str">
        <f t="shared" si="274"/>
        <v>NA</v>
      </c>
      <c r="AM162" s="154" t="str">
        <f t="shared" si="275"/>
        <v>NA</v>
      </c>
      <c r="AN162" s="154" t="str">
        <f t="shared" si="276"/>
        <v>NA</v>
      </c>
      <c r="AO162" s="154" t="str">
        <f t="shared" si="277"/>
        <v>NA</v>
      </c>
      <c r="AP162" s="154" t="str">
        <f t="shared" si="278"/>
        <v>NA</v>
      </c>
      <c r="AR162" s="123">
        <v>103</v>
      </c>
      <c r="AS162" s="103" t="s">
        <v>248</v>
      </c>
      <c r="AT162" s="141">
        <f>SUMIFS(TME[[#All],[Member Months]],TME[[#All],[Reporting Year]],2020,TME[[#All],[Insurance Category Code]],6,TME[[#All],[Large Provider Entity Code]],AR162)</f>
        <v>0</v>
      </c>
      <c r="AU162" s="152" t="str">
        <f>IFERROR(SUMIFS(TME[[#All],[Total Non-Truncated Claims Spending]],TME[[#All],[Reporting Year]],2020,TME[[#All],[Insurance Category Code]],6,TME[[#All],[Large Provider Entity Code]],AR162)/AT162,"NA")</f>
        <v>NA</v>
      </c>
      <c r="AV162" s="152" t="str">
        <f>IFERROR(SUMIFS(TME[[#All],[Total Truncated Claims Spending]],TME[[#All],[Reporting Year]],2020,TME[[#All],[Insurance Category Code]],6,TME[[#All],[Large Provider Entity Code]],AR162)/AT162,"NA")</f>
        <v>NA</v>
      </c>
      <c r="AW162" s="152" t="str">
        <f>IFERROR(SUMIFS(TME[[#All],[Total Non-Claims Spending]],TME[[#All],[Reporting Year]],2020,TME[[#All],[Insurance Category Code]],6,TME[[#All],[Large Provider Entity Code]],AR162)/AT162,"NA")</f>
        <v>NA</v>
      </c>
      <c r="AX162" s="152" t="str">
        <f>IFERROR(SUMIFS(TME[[#All],[Total Non-Truncated Claims and Non-Claims Spending]],TME[[#All],[Reporting Year]],2020,TME[[#All],[Insurance Category Code]],6,TME[[#All],[Large Provider Entity Code]],AR162)/AT162,"NA")</f>
        <v>NA</v>
      </c>
      <c r="AY162" s="152" t="str">
        <f>IFERROR(SUMIFS(TME[[#All],[Truncated Total Expenses (Total Truncated Claims Expenses + Non-Claims Expenses)]],TME[[#All],[Reporting Year]],2020,TME[[#All],[Insurance Category Code]],6,TME[[#All],[Large Provider Entity Code]],AR162)/AT162,"NA")</f>
        <v>NA</v>
      </c>
      <c r="AZ162" s="141">
        <f>SUMIFS(TME[[#All],[Member Months]],TME[[#All],[Reporting Year]],2021,TME[[#All],[Insurance Category Code]],6,TME[[#All],[Large Provider Entity Code]],AR162)</f>
        <v>0</v>
      </c>
      <c r="BA162" s="152" t="str">
        <f>IFERROR(SUMIFS(TME[[#All],[Total Non-Truncated Claims Spending]],TME[[#All],[Reporting Year]],2021,TME[[#All],[Insurance Category Code]],6,TME[[#All],[Large Provider Entity Code]],AR162)/AZ162,"NA")</f>
        <v>NA</v>
      </c>
      <c r="BB162" s="152" t="str">
        <f>IFERROR(SUMIFS(TME[[#All],[Total Truncated Claims Spending]],TME[[#All],[Reporting Year]],2021,TME[[#All],[Insurance Category Code]],6,TME[[#All],[Large Provider Entity Code]],AR162)/AZ162,"NA")</f>
        <v>NA</v>
      </c>
      <c r="BC162" s="152" t="str">
        <f>IFERROR(SUMIFS(TME[[#All],[Total Non-Claims Spending]],TME[[#All],[Reporting Year]],2021,TME[[#All],[Insurance Category Code]],6,TME[[#All],[Large Provider Entity Code]],AR162)/AZ162,"NA")</f>
        <v>NA</v>
      </c>
      <c r="BD162" s="152" t="str">
        <f>IFERROR(SUMIFS(TME[[#All],[Total Non-Truncated Claims and Non-Claims Spending]],TME[[#All],[Reporting Year]],2021,TME[[#All],[Insurance Category Code]],6,TME[[#All],[Large Provider Entity Code]],AR162)/AZ162,"NA")</f>
        <v>NA</v>
      </c>
      <c r="BE162" s="152" t="str">
        <f>IFERROR(SUMIFS(TME[[#All],[Truncated Total Expenses (Total Truncated Claims Expenses + Non-Claims Expenses)]],TME[[#All],[Reporting Year]],2021,TME[[#All],[Insurance Category Code]],6,TME[[#All],[Large Provider Entity Code]],AR162)/AZ162,"NA")</f>
        <v>NA</v>
      </c>
      <c r="BF162" s="154" t="str">
        <f t="shared" si="279"/>
        <v>NA</v>
      </c>
      <c r="BG162" s="154" t="str">
        <f t="shared" si="280"/>
        <v>NA</v>
      </c>
      <c r="BH162" s="154" t="str">
        <f t="shared" si="281"/>
        <v>NA</v>
      </c>
      <c r="BI162" s="154" t="str">
        <f t="shared" si="282"/>
        <v>NA</v>
      </c>
      <c r="BJ162" s="154" t="str">
        <f t="shared" si="283"/>
        <v>NA</v>
      </c>
      <c r="BK162" s="154" t="str">
        <f t="shared" si="284"/>
        <v>NA</v>
      </c>
    </row>
    <row r="163" spans="2:63" x14ac:dyDescent="0.35">
      <c r="B163" s="123">
        <v>104</v>
      </c>
      <c r="C163" s="103" t="s">
        <v>249</v>
      </c>
      <c r="D163" s="141">
        <f>SUMIFS(TME[[#All],[Member Months]],TME[[#All],[Reporting Year]],2018,TME[[#All],[Insurance Category Code]],6,TME[[#All],[Large Provider Entity Code]],B163)</f>
        <v>0</v>
      </c>
      <c r="E163" s="152" t="str">
        <f>IFERROR(SUMIFS(TME[[#All],[Total Non-Truncated Claims Spending]],TME[[#All],[Reporting Year]],2018,TME[[#All],[Insurance Category Code]],6,TME[[#All],[Large Provider Entity Code]],B163)/D163,"NA")</f>
        <v>NA</v>
      </c>
      <c r="F163" s="152" t="str">
        <f>IFERROR(SUMIFS(TME[[#All],[Total Truncated Claims Spending]],TME[[#All],[Reporting Year]],2018,TME[[#All],[Insurance Category Code]],6,TME[[#All],[Large Provider Entity Code]],B163)/D163,"NA")</f>
        <v>NA</v>
      </c>
      <c r="G163" s="152" t="str">
        <f>IFERROR(SUMIFS(TME[[#All],[Total Non-Claims Spending]],TME[[#All],[Reporting Year]],2018,TME[[#All],[Insurance Category Code]],6,TME[[#All],[Large Provider Entity Code]],B163)/D163,"NA")</f>
        <v>NA</v>
      </c>
      <c r="H163" s="152" t="str">
        <f>IFERROR(SUMIFS(TME[[#All],[Total Non-Truncated Claims and Non-Claims Spending]],TME[[#All],[Reporting Year]],2018,TME[[#All],[Insurance Category Code]],6,TME[[#All],[Large Provider Entity Code]],B163)/D163,"NA")</f>
        <v>NA</v>
      </c>
      <c r="I163" s="152" t="str">
        <f>IFERROR(SUMIFS(TME[[#All],[Truncated Total Expenses (Total Truncated Claims Expenses + Non-Claims Expenses)]],TME[[#All],[Reporting Year]],2018,TME[[#All],[Insurance Category Code]],6,TME[[#All],[Large Provider Entity Code]],B163)/D163,"NA")</f>
        <v>NA</v>
      </c>
      <c r="J163" s="141">
        <f>SUMIFS(TME[[#All],[Member Months]],TME[[#All],[Reporting Year]],2019,TME[[#All],[Insurance Category Code]],6,TME[[#All],[Large Provider Entity Code]],B163)</f>
        <v>0</v>
      </c>
      <c r="K163" s="152" t="str">
        <f>IFERROR(SUMIFS(TME[[#All],[Total Non-Truncated Claims Spending]],TME[[#All],[Reporting Year]],2019,TME[[#All],[Insurance Category Code]],6,TME[[#All],[Large Provider Entity Code]],B163)/J163,"NA")</f>
        <v>NA</v>
      </c>
      <c r="L163" s="152" t="str">
        <f>IFERROR(SUMIFS(TME[[#All],[Total Truncated Claims Spending]],TME[[#All],[Reporting Year]],2019,TME[[#All],[Insurance Category Code]],6,TME[[#All],[Large Provider Entity Code]],B163)/J163,"NA")</f>
        <v>NA</v>
      </c>
      <c r="M163" s="152" t="str">
        <f>IFERROR(SUMIFS(TME[[#All],[Total Non-Claims Spending]],TME[[#All],[Reporting Year]],2019,TME[[#All],[Insurance Category Code]],6,TME[[#All],[Large Provider Entity Code]],B163)/J163,"NA")</f>
        <v>NA</v>
      </c>
      <c r="N163" s="152" t="str">
        <f>IFERROR(SUMIFS(TME[[#All],[Total Non-Truncated Claims and Non-Claims Spending]],TME[[#All],[Reporting Year]],2019,TME[[#All],[Insurance Category Code]],6,TME[[#All],[Large Provider Entity Code]],B163)/J163,"NA")</f>
        <v>NA</v>
      </c>
      <c r="O163" s="152" t="str">
        <f>IFERROR(SUMIFS(TME[[#All],[Truncated Total Expenses (Total Truncated Claims Expenses + Non-Claims Expenses)]],TME[[#All],[Reporting Year]],2019,TME[[#All],[Insurance Category Code]],6,TME[[#All],[Large Provider Entity Code]],B163)/J163,"NA")</f>
        <v>NA</v>
      </c>
      <c r="P163" s="154" t="str">
        <f t="shared" si="267"/>
        <v>NA</v>
      </c>
      <c r="Q163" s="154" t="str">
        <f t="shared" si="268"/>
        <v>NA</v>
      </c>
      <c r="R163" s="154" t="str">
        <f t="shared" si="269"/>
        <v>NA</v>
      </c>
      <c r="S163" s="154" t="str">
        <f t="shared" si="270"/>
        <v>NA</v>
      </c>
      <c r="T163" s="154" t="str">
        <f t="shared" si="271"/>
        <v>NA</v>
      </c>
      <c r="U163" s="154" t="str">
        <f t="shared" si="272"/>
        <v>NA</v>
      </c>
      <c r="W163" s="123">
        <v>104</v>
      </c>
      <c r="X163" s="103" t="s">
        <v>249</v>
      </c>
      <c r="Y163" s="141">
        <f>SUMIFS(TME[[#All],[Member Months]],TME[[#All],[Reporting Year]],2019,TME[[#All],[Insurance Category Code]],6,TME[[#All],[Large Provider Entity Code]],W163)</f>
        <v>0</v>
      </c>
      <c r="Z163" s="152" t="str">
        <f>IFERROR(SUMIFS(TME[[#All],[Total Non-Truncated Claims Spending]],TME[[#All],[Reporting Year]],2019,TME[[#All],[Insurance Category Code]],6,TME[[#All],[Large Provider Entity Code]],W163)/Y163,"NA")</f>
        <v>NA</v>
      </c>
      <c r="AA163" s="152" t="str">
        <f>IFERROR(SUMIFS(TME[[#All],[Total Truncated Claims Spending]],TME[[#All],[Reporting Year]],2019,TME[[#All],[Insurance Category Code]],6,TME[[#All],[Large Provider Entity Code]],W163)/Y163,"NA")</f>
        <v>NA</v>
      </c>
      <c r="AB163" s="152" t="str">
        <f>IFERROR(SUMIFS(TME[[#All],[Total Non-Claims Spending]],TME[[#All],[Reporting Year]],2019,TME[[#All],[Insurance Category Code]],6,TME[[#All],[Large Provider Entity Code]],W163)/Y163,"NA")</f>
        <v>NA</v>
      </c>
      <c r="AC163" s="152" t="str">
        <f>IFERROR(SUMIFS(TME[[#All],[Total Non-Truncated Claims and Non-Claims Spending]],TME[[#All],[Reporting Year]],2019,TME[[#All],[Insurance Category Code]],6,TME[[#All],[Large Provider Entity Code]],W163)/Y163,"NA")</f>
        <v>NA</v>
      </c>
      <c r="AD163" s="152" t="str">
        <f>IFERROR(SUMIFS(TME[[#All],[Truncated Total Expenses (Total Truncated Claims Expenses + Non-Claims Expenses)]],TME[[#All],[Reporting Year]],2019,TME[[#All],[Insurance Category Code]],6,TME[[#All],[Large Provider Entity Code]],W163)/Y163,"NA")</f>
        <v>NA</v>
      </c>
      <c r="AE163" s="141">
        <f>SUMIFS(TME[[#All],[Member Months]],TME[[#All],[Reporting Year]],2020,TME[[#All],[Insurance Category Code]],6,TME[[#All],[Large Provider Entity Code]],W163)</f>
        <v>0</v>
      </c>
      <c r="AF163" s="152" t="str">
        <f>IFERROR(SUMIFS(TME[[#All],[Total Non-Truncated Claims Spending]],TME[[#All],[Reporting Year]],2020,TME[[#All],[Insurance Category Code]],6,TME[[#All],[Large Provider Entity Code]],W163)/AE163,"NA")</f>
        <v>NA</v>
      </c>
      <c r="AG163" s="152" t="str">
        <f>IFERROR(SUMIFS(TME[[#All],[Total Truncated Claims Spending]],TME[[#All],[Reporting Year]],2020,TME[[#All],[Insurance Category Code]],6,TME[[#All],[Large Provider Entity Code]],W163)/AE163,"NA")</f>
        <v>NA</v>
      </c>
      <c r="AH163" s="152" t="str">
        <f>IFERROR(SUMIFS(TME[[#All],[Total Non-Claims Spending]],TME[[#All],[Reporting Year]],2020,TME[[#All],[Insurance Category Code]],6,TME[[#All],[Large Provider Entity Code]],W163)/AE163,"NA")</f>
        <v>NA</v>
      </c>
      <c r="AI163" s="152" t="str">
        <f>IFERROR(SUMIFS(TME[[#All],[Total Non-Truncated Claims and Non-Claims Spending]],TME[[#All],[Reporting Year]],2020,TME[[#All],[Insurance Category Code]],6,TME[[#All],[Large Provider Entity Code]],W163)/AE163,"NA")</f>
        <v>NA</v>
      </c>
      <c r="AJ163" s="152" t="str">
        <f>IFERROR(SUMIFS(TME[[#All],[Truncated Total Expenses (Total Truncated Claims Expenses + Non-Claims Expenses)]],TME[[#All],[Reporting Year]],2020,TME[[#All],[Insurance Category Code]],6,TME[[#All],[Large Provider Entity Code]],W163)/AE163,"NA")</f>
        <v>NA</v>
      </c>
      <c r="AK163" s="154" t="str">
        <f t="shared" si="273"/>
        <v>NA</v>
      </c>
      <c r="AL163" s="154" t="str">
        <f t="shared" si="274"/>
        <v>NA</v>
      </c>
      <c r="AM163" s="154" t="str">
        <f t="shared" si="275"/>
        <v>NA</v>
      </c>
      <c r="AN163" s="154" t="str">
        <f t="shared" si="276"/>
        <v>NA</v>
      </c>
      <c r="AO163" s="154" t="str">
        <f t="shared" si="277"/>
        <v>NA</v>
      </c>
      <c r="AP163" s="154" t="str">
        <f t="shared" si="278"/>
        <v>NA</v>
      </c>
      <c r="AR163" s="123">
        <v>104</v>
      </c>
      <c r="AS163" s="103" t="s">
        <v>249</v>
      </c>
      <c r="AT163" s="141">
        <f>SUMIFS(TME[[#All],[Member Months]],TME[[#All],[Reporting Year]],2020,TME[[#All],[Insurance Category Code]],6,TME[[#All],[Large Provider Entity Code]],AR163)</f>
        <v>0</v>
      </c>
      <c r="AU163" s="152" t="str">
        <f>IFERROR(SUMIFS(TME[[#All],[Total Non-Truncated Claims Spending]],TME[[#All],[Reporting Year]],2020,TME[[#All],[Insurance Category Code]],6,TME[[#All],[Large Provider Entity Code]],AR163)/AT163,"NA")</f>
        <v>NA</v>
      </c>
      <c r="AV163" s="152" t="str">
        <f>IFERROR(SUMIFS(TME[[#All],[Total Truncated Claims Spending]],TME[[#All],[Reporting Year]],2020,TME[[#All],[Insurance Category Code]],6,TME[[#All],[Large Provider Entity Code]],AR163)/AT163,"NA")</f>
        <v>NA</v>
      </c>
      <c r="AW163" s="152" t="str">
        <f>IFERROR(SUMIFS(TME[[#All],[Total Non-Claims Spending]],TME[[#All],[Reporting Year]],2020,TME[[#All],[Insurance Category Code]],6,TME[[#All],[Large Provider Entity Code]],AR163)/AT163,"NA")</f>
        <v>NA</v>
      </c>
      <c r="AX163" s="152" t="str">
        <f>IFERROR(SUMIFS(TME[[#All],[Total Non-Truncated Claims and Non-Claims Spending]],TME[[#All],[Reporting Year]],2020,TME[[#All],[Insurance Category Code]],6,TME[[#All],[Large Provider Entity Code]],AR163)/AT163,"NA")</f>
        <v>NA</v>
      </c>
      <c r="AY163" s="152" t="str">
        <f>IFERROR(SUMIFS(TME[[#All],[Truncated Total Expenses (Total Truncated Claims Expenses + Non-Claims Expenses)]],TME[[#All],[Reporting Year]],2020,TME[[#All],[Insurance Category Code]],6,TME[[#All],[Large Provider Entity Code]],AR163)/AT163,"NA")</f>
        <v>NA</v>
      </c>
      <c r="AZ163" s="141">
        <f>SUMIFS(TME[[#All],[Member Months]],TME[[#All],[Reporting Year]],2021,TME[[#All],[Insurance Category Code]],6,TME[[#All],[Large Provider Entity Code]],AR163)</f>
        <v>0</v>
      </c>
      <c r="BA163" s="152" t="str">
        <f>IFERROR(SUMIFS(TME[[#All],[Total Non-Truncated Claims Spending]],TME[[#All],[Reporting Year]],2021,TME[[#All],[Insurance Category Code]],6,TME[[#All],[Large Provider Entity Code]],AR163)/AZ163,"NA")</f>
        <v>NA</v>
      </c>
      <c r="BB163" s="152" t="str">
        <f>IFERROR(SUMIFS(TME[[#All],[Total Truncated Claims Spending]],TME[[#All],[Reporting Year]],2021,TME[[#All],[Insurance Category Code]],6,TME[[#All],[Large Provider Entity Code]],AR163)/AZ163,"NA")</f>
        <v>NA</v>
      </c>
      <c r="BC163" s="152" t="str">
        <f>IFERROR(SUMIFS(TME[[#All],[Total Non-Claims Spending]],TME[[#All],[Reporting Year]],2021,TME[[#All],[Insurance Category Code]],6,TME[[#All],[Large Provider Entity Code]],AR163)/AZ163,"NA")</f>
        <v>NA</v>
      </c>
      <c r="BD163" s="152" t="str">
        <f>IFERROR(SUMIFS(TME[[#All],[Total Non-Truncated Claims and Non-Claims Spending]],TME[[#All],[Reporting Year]],2021,TME[[#All],[Insurance Category Code]],6,TME[[#All],[Large Provider Entity Code]],AR163)/AZ163,"NA")</f>
        <v>NA</v>
      </c>
      <c r="BE163" s="152" t="str">
        <f>IFERROR(SUMIFS(TME[[#All],[Truncated Total Expenses (Total Truncated Claims Expenses + Non-Claims Expenses)]],TME[[#All],[Reporting Year]],2021,TME[[#All],[Insurance Category Code]],6,TME[[#All],[Large Provider Entity Code]],AR163)/AZ163,"NA")</f>
        <v>NA</v>
      </c>
      <c r="BF163" s="154" t="str">
        <f t="shared" si="279"/>
        <v>NA</v>
      </c>
      <c r="BG163" s="154" t="str">
        <f t="shared" si="280"/>
        <v>NA</v>
      </c>
      <c r="BH163" s="154" t="str">
        <f t="shared" si="281"/>
        <v>NA</v>
      </c>
      <c r="BI163" s="154" t="str">
        <f t="shared" si="282"/>
        <v>NA</v>
      </c>
      <c r="BJ163" s="154" t="str">
        <f t="shared" si="283"/>
        <v>NA</v>
      </c>
      <c r="BK163" s="154" t="str">
        <f t="shared" si="284"/>
        <v>NA</v>
      </c>
    </row>
    <row r="164" spans="2:63" x14ac:dyDescent="0.35">
      <c r="B164" s="123">
        <v>105</v>
      </c>
      <c r="C164" s="103" t="s">
        <v>293</v>
      </c>
      <c r="D164" s="141">
        <f>SUMIFS(TME[[#All],[Member Months]],TME[[#All],[Reporting Year]],2018,TME[[#All],[Insurance Category Code]],6,TME[[#All],[Large Provider Entity Code]],B164)</f>
        <v>0</v>
      </c>
      <c r="E164" s="152" t="str">
        <f>IFERROR(SUMIFS(TME[[#All],[Total Non-Truncated Claims Spending]],TME[[#All],[Reporting Year]],2018,TME[[#All],[Insurance Category Code]],6,TME[[#All],[Large Provider Entity Code]],B164)/D164,"NA")</f>
        <v>NA</v>
      </c>
      <c r="F164" s="152" t="str">
        <f>IFERROR(SUMIFS(TME[[#All],[Total Truncated Claims Spending]],TME[[#All],[Reporting Year]],2018,TME[[#All],[Insurance Category Code]],6,TME[[#All],[Large Provider Entity Code]],B164)/D164,"NA")</f>
        <v>NA</v>
      </c>
      <c r="G164" s="152" t="str">
        <f>IFERROR(SUMIFS(TME[[#All],[Total Non-Claims Spending]],TME[[#All],[Reporting Year]],2018,TME[[#All],[Insurance Category Code]],6,TME[[#All],[Large Provider Entity Code]],B164)/D164,"NA")</f>
        <v>NA</v>
      </c>
      <c r="H164" s="152" t="str">
        <f>IFERROR(SUMIFS(TME[[#All],[Total Non-Truncated Claims and Non-Claims Spending]],TME[[#All],[Reporting Year]],2018,TME[[#All],[Insurance Category Code]],6,TME[[#All],[Large Provider Entity Code]],B164)/D164,"NA")</f>
        <v>NA</v>
      </c>
      <c r="I164" s="152" t="str">
        <f>IFERROR(SUMIFS(TME[[#All],[Truncated Total Expenses (Total Truncated Claims Expenses + Non-Claims Expenses)]],TME[[#All],[Reporting Year]],2018,TME[[#All],[Insurance Category Code]],6,TME[[#All],[Large Provider Entity Code]],B164)/D164,"NA")</f>
        <v>NA</v>
      </c>
      <c r="J164" s="141">
        <f>SUMIFS(TME[[#All],[Member Months]],TME[[#All],[Reporting Year]],2019,TME[[#All],[Insurance Category Code]],6,TME[[#All],[Large Provider Entity Code]],B164)</f>
        <v>0</v>
      </c>
      <c r="K164" s="152" t="str">
        <f>IFERROR(SUMIFS(TME[[#All],[Total Non-Truncated Claims Spending]],TME[[#All],[Reporting Year]],2019,TME[[#All],[Insurance Category Code]],6,TME[[#All],[Large Provider Entity Code]],B164)/J164,"NA")</f>
        <v>NA</v>
      </c>
      <c r="L164" s="152" t="str">
        <f>IFERROR(SUMIFS(TME[[#All],[Total Truncated Claims Spending]],TME[[#All],[Reporting Year]],2019,TME[[#All],[Insurance Category Code]],6,TME[[#All],[Large Provider Entity Code]],B164)/J164,"NA")</f>
        <v>NA</v>
      </c>
      <c r="M164" s="152" t="str">
        <f>IFERROR(SUMIFS(TME[[#All],[Total Non-Claims Spending]],TME[[#All],[Reporting Year]],2019,TME[[#All],[Insurance Category Code]],6,TME[[#All],[Large Provider Entity Code]],B164)/J164,"NA")</f>
        <v>NA</v>
      </c>
      <c r="N164" s="152" t="str">
        <f>IFERROR(SUMIFS(TME[[#All],[Total Non-Truncated Claims and Non-Claims Spending]],TME[[#All],[Reporting Year]],2019,TME[[#All],[Insurance Category Code]],6,TME[[#All],[Large Provider Entity Code]],B164)/J164,"NA")</f>
        <v>NA</v>
      </c>
      <c r="O164" s="152" t="str">
        <f>IFERROR(SUMIFS(TME[[#All],[Truncated Total Expenses (Total Truncated Claims Expenses + Non-Claims Expenses)]],TME[[#All],[Reporting Year]],2019,TME[[#All],[Insurance Category Code]],6,TME[[#All],[Large Provider Entity Code]],B164)/J164,"NA")</f>
        <v>NA</v>
      </c>
      <c r="P164" s="154" t="str">
        <f t="shared" si="267"/>
        <v>NA</v>
      </c>
      <c r="Q164" s="154" t="str">
        <f t="shared" si="268"/>
        <v>NA</v>
      </c>
      <c r="R164" s="154" t="str">
        <f t="shared" si="269"/>
        <v>NA</v>
      </c>
      <c r="S164" s="154" t="str">
        <f t="shared" si="270"/>
        <v>NA</v>
      </c>
      <c r="T164" s="154" t="str">
        <f t="shared" si="271"/>
        <v>NA</v>
      </c>
      <c r="U164" s="154" t="str">
        <f t="shared" si="272"/>
        <v>NA</v>
      </c>
      <c r="W164" s="123">
        <v>105</v>
      </c>
      <c r="X164" s="103" t="s">
        <v>293</v>
      </c>
      <c r="Y164" s="141">
        <f>SUMIFS(TME[[#All],[Member Months]],TME[[#All],[Reporting Year]],2019,TME[[#All],[Insurance Category Code]],6,TME[[#All],[Large Provider Entity Code]],W164)</f>
        <v>0</v>
      </c>
      <c r="Z164" s="152" t="str">
        <f>IFERROR(SUMIFS(TME[[#All],[Total Non-Truncated Claims Spending]],TME[[#All],[Reporting Year]],2019,TME[[#All],[Insurance Category Code]],6,TME[[#All],[Large Provider Entity Code]],W164)/Y164,"NA")</f>
        <v>NA</v>
      </c>
      <c r="AA164" s="152" t="str">
        <f>IFERROR(SUMIFS(TME[[#All],[Total Truncated Claims Spending]],TME[[#All],[Reporting Year]],2019,TME[[#All],[Insurance Category Code]],6,TME[[#All],[Large Provider Entity Code]],W164)/Y164,"NA")</f>
        <v>NA</v>
      </c>
      <c r="AB164" s="152" t="str">
        <f>IFERROR(SUMIFS(TME[[#All],[Total Non-Claims Spending]],TME[[#All],[Reporting Year]],2019,TME[[#All],[Insurance Category Code]],6,TME[[#All],[Large Provider Entity Code]],W164)/Y164,"NA")</f>
        <v>NA</v>
      </c>
      <c r="AC164" s="152" t="str">
        <f>IFERROR(SUMIFS(TME[[#All],[Total Non-Truncated Claims and Non-Claims Spending]],TME[[#All],[Reporting Year]],2019,TME[[#All],[Insurance Category Code]],6,TME[[#All],[Large Provider Entity Code]],W164)/Y164,"NA")</f>
        <v>NA</v>
      </c>
      <c r="AD164" s="152" t="str">
        <f>IFERROR(SUMIFS(TME[[#All],[Truncated Total Expenses (Total Truncated Claims Expenses + Non-Claims Expenses)]],TME[[#All],[Reporting Year]],2019,TME[[#All],[Insurance Category Code]],6,TME[[#All],[Large Provider Entity Code]],W164)/Y164,"NA")</f>
        <v>NA</v>
      </c>
      <c r="AE164" s="141">
        <f>SUMIFS(TME[[#All],[Member Months]],TME[[#All],[Reporting Year]],2020,TME[[#All],[Insurance Category Code]],6,TME[[#All],[Large Provider Entity Code]],W164)</f>
        <v>0</v>
      </c>
      <c r="AF164" s="152" t="str">
        <f>IFERROR(SUMIFS(TME[[#All],[Total Non-Truncated Claims Spending]],TME[[#All],[Reporting Year]],2020,TME[[#All],[Insurance Category Code]],6,TME[[#All],[Large Provider Entity Code]],W164)/AE164,"NA")</f>
        <v>NA</v>
      </c>
      <c r="AG164" s="152" t="str">
        <f>IFERROR(SUMIFS(TME[[#All],[Total Truncated Claims Spending]],TME[[#All],[Reporting Year]],2020,TME[[#All],[Insurance Category Code]],6,TME[[#All],[Large Provider Entity Code]],W164)/AE164,"NA")</f>
        <v>NA</v>
      </c>
      <c r="AH164" s="152" t="str">
        <f>IFERROR(SUMIFS(TME[[#All],[Total Non-Claims Spending]],TME[[#All],[Reporting Year]],2020,TME[[#All],[Insurance Category Code]],6,TME[[#All],[Large Provider Entity Code]],W164)/AE164,"NA")</f>
        <v>NA</v>
      </c>
      <c r="AI164" s="152" t="str">
        <f>IFERROR(SUMIFS(TME[[#All],[Total Non-Truncated Claims and Non-Claims Spending]],TME[[#All],[Reporting Year]],2020,TME[[#All],[Insurance Category Code]],6,TME[[#All],[Large Provider Entity Code]],W164)/AE164,"NA")</f>
        <v>NA</v>
      </c>
      <c r="AJ164" s="152" t="str">
        <f>IFERROR(SUMIFS(TME[[#All],[Truncated Total Expenses (Total Truncated Claims Expenses + Non-Claims Expenses)]],TME[[#All],[Reporting Year]],2020,TME[[#All],[Insurance Category Code]],6,TME[[#All],[Large Provider Entity Code]],W164)/AE164,"NA")</f>
        <v>NA</v>
      </c>
      <c r="AK164" s="154" t="str">
        <f t="shared" si="273"/>
        <v>NA</v>
      </c>
      <c r="AL164" s="154" t="str">
        <f t="shared" si="274"/>
        <v>NA</v>
      </c>
      <c r="AM164" s="154" t="str">
        <f t="shared" si="275"/>
        <v>NA</v>
      </c>
      <c r="AN164" s="154" t="str">
        <f t="shared" si="276"/>
        <v>NA</v>
      </c>
      <c r="AO164" s="154" t="str">
        <f t="shared" si="277"/>
        <v>NA</v>
      </c>
      <c r="AP164" s="154" t="str">
        <f t="shared" si="278"/>
        <v>NA</v>
      </c>
      <c r="AR164" s="123">
        <v>105</v>
      </c>
      <c r="AS164" s="103" t="s">
        <v>293</v>
      </c>
      <c r="AT164" s="141">
        <f>SUMIFS(TME[[#All],[Member Months]],TME[[#All],[Reporting Year]],2020,TME[[#All],[Insurance Category Code]],6,TME[[#All],[Large Provider Entity Code]],AR164)</f>
        <v>0</v>
      </c>
      <c r="AU164" s="152" t="str">
        <f>IFERROR(SUMIFS(TME[[#All],[Total Non-Truncated Claims Spending]],TME[[#All],[Reporting Year]],2020,TME[[#All],[Insurance Category Code]],6,TME[[#All],[Large Provider Entity Code]],AR164)/AT164,"NA")</f>
        <v>NA</v>
      </c>
      <c r="AV164" s="152" t="str">
        <f>IFERROR(SUMIFS(TME[[#All],[Total Truncated Claims Spending]],TME[[#All],[Reporting Year]],2020,TME[[#All],[Insurance Category Code]],6,TME[[#All],[Large Provider Entity Code]],AR164)/AT164,"NA")</f>
        <v>NA</v>
      </c>
      <c r="AW164" s="152" t="str">
        <f>IFERROR(SUMIFS(TME[[#All],[Total Non-Claims Spending]],TME[[#All],[Reporting Year]],2020,TME[[#All],[Insurance Category Code]],6,TME[[#All],[Large Provider Entity Code]],AR164)/AT164,"NA")</f>
        <v>NA</v>
      </c>
      <c r="AX164" s="152" t="str">
        <f>IFERROR(SUMIFS(TME[[#All],[Total Non-Truncated Claims and Non-Claims Spending]],TME[[#All],[Reporting Year]],2020,TME[[#All],[Insurance Category Code]],6,TME[[#All],[Large Provider Entity Code]],AR164)/AT164,"NA")</f>
        <v>NA</v>
      </c>
      <c r="AY164" s="152" t="str">
        <f>IFERROR(SUMIFS(TME[[#All],[Truncated Total Expenses (Total Truncated Claims Expenses + Non-Claims Expenses)]],TME[[#All],[Reporting Year]],2020,TME[[#All],[Insurance Category Code]],6,TME[[#All],[Large Provider Entity Code]],AR164)/AT164,"NA")</f>
        <v>NA</v>
      </c>
      <c r="AZ164" s="141">
        <f>SUMIFS(TME[[#All],[Member Months]],TME[[#All],[Reporting Year]],2021,TME[[#All],[Insurance Category Code]],6,TME[[#All],[Large Provider Entity Code]],AR164)</f>
        <v>0</v>
      </c>
      <c r="BA164" s="152" t="str">
        <f>IFERROR(SUMIFS(TME[[#All],[Total Non-Truncated Claims Spending]],TME[[#All],[Reporting Year]],2021,TME[[#All],[Insurance Category Code]],6,TME[[#All],[Large Provider Entity Code]],AR164)/AZ164,"NA")</f>
        <v>NA</v>
      </c>
      <c r="BB164" s="152" t="str">
        <f>IFERROR(SUMIFS(TME[[#All],[Total Truncated Claims Spending]],TME[[#All],[Reporting Year]],2021,TME[[#All],[Insurance Category Code]],6,TME[[#All],[Large Provider Entity Code]],AR164)/AZ164,"NA")</f>
        <v>NA</v>
      </c>
      <c r="BC164" s="152" t="str">
        <f>IFERROR(SUMIFS(TME[[#All],[Total Non-Claims Spending]],TME[[#All],[Reporting Year]],2021,TME[[#All],[Insurance Category Code]],6,TME[[#All],[Large Provider Entity Code]],AR164)/AZ164,"NA")</f>
        <v>NA</v>
      </c>
      <c r="BD164" s="152" t="str">
        <f>IFERROR(SUMIFS(TME[[#All],[Total Non-Truncated Claims and Non-Claims Spending]],TME[[#All],[Reporting Year]],2021,TME[[#All],[Insurance Category Code]],6,TME[[#All],[Large Provider Entity Code]],AR164)/AZ164,"NA")</f>
        <v>NA</v>
      </c>
      <c r="BE164" s="152" t="str">
        <f>IFERROR(SUMIFS(TME[[#All],[Truncated Total Expenses (Total Truncated Claims Expenses + Non-Claims Expenses)]],TME[[#All],[Reporting Year]],2021,TME[[#All],[Insurance Category Code]],6,TME[[#All],[Large Provider Entity Code]],AR164)/AZ164,"NA")</f>
        <v>NA</v>
      </c>
      <c r="BF164" s="154" t="str">
        <f t="shared" si="279"/>
        <v>NA</v>
      </c>
      <c r="BG164" s="154" t="str">
        <f t="shared" si="280"/>
        <v>NA</v>
      </c>
      <c r="BH164" s="154" t="str">
        <f t="shared" si="281"/>
        <v>NA</v>
      </c>
      <c r="BI164" s="154" t="str">
        <f t="shared" si="282"/>
        <v>NA</v>
      </c>
      <c r="BJ164" s="154" t="str">
        <f t="shared" si="283"/>
        <v>NA</v>
      </c>
      <c r="BK164" s="154" t="str">
        <f t="shared" si="284"/>
        <v>NA</v>
      </c>
    </row>
    <row r="165" spans="2:63" x14ac:dyDescent="0.35">
      <c r="B165" s="123">
        <v>106</v>
      </c>
      <c r="C165" s="103" t="s">
        <v>250</v>
      </c>
      <c r="D165" s="141">
        <f>SUMIFS(TME[[#All],[Member Months]],TME[[#All],[Reporting Year]],2018,TME[[#All],[Insurance Category Code]],6,TME[[#All],[Large Provider Entity Code]],B165)</f>
        <v>0</v>
      </c>
      <c r="E165" s="152" t="str">
        <f>IFERROR(SUMIFS(TME[[#All],[Total Non-Truncated Claims Spending]],TME[[#All],[Reporting Year]],2018,TME[[#All],[Insurance Category Code]],6,TME[[#All],[Large Provider Entity Code]],B165)/D165,"NA")</f>
        <v>NA</v>
      </c>
      <c r="F165" s="152" t="str">
        <f>IFERROR(SUMIFS(TME[[#All],[Total Truncated Claims Spending]],TME[[#All],[Reporting Year]],2018,TME[[#All],[Insurance Category Code]],6,TME[[#All],[Large Provider Entity Code]],B165)/D165,"NA")</f>
        <v>NA</v>
      </c>
      <c r="G165" s="152" t="str">
        <f>IFERROR(SUMIFS(TME[[#All],[Total Non-Claims Spending]],TME[[#All],[Reporting Year]],2018,TME[[#All],[Insurance Category Code]],6,TME[[#All],[Large Provider Entity Code]],B165)/D165,"NA")</f>
        <v>NA</v>
      </c>
      <c r="H165" s="152" t="str">
        <f>IFERROR(SUMIFS(TME[[#All],[Total Non-Truncated Claims and Non-Claims Spending]],TME[[#All],[Reporting Year]],2018,TME[[#All],[Insurance Category Code]],6,TME[[#All],[Large Provider Entity Code]],B165)/D165,"NA")</f>
        <v>NA</v>
      </c>
      <c r="I165" s="152" t="str">
        <f>IFERROR(SUMIFS(TME[[#All],[Truncated Total Expenses (Total Truncated Claims Expenses + Non-Claims Expenses)]],TME[[#All],[Reporting Year]],2018,TME[[#All],[Insurance Category Code]],6,TME[[#All],[Large Provider Entity Code]],B165)/D165,"NA")</f>
        <v>NA</v>
      </c>
      <c r="J165" s="141">
        <f>SUMIFS(TME[[#All],[Member Months]],TME[[#All],[Reporting Year]],2019,TME[[#All],[Insurance Category Code]],6,TME[[#All],[Large Provider Entity Code]],B165)</f>
        <v>0</v>
      </c>
      <c r="K165" s="152" t="str">
        <f>IFERROR(SUMIFS(TME[[#All],[Total Non-Truncated Claims Spending]],TME[[#All],[Reporting Year]],2019,TME[[#All],[Insurance Category Code]],6,TME[[#All],[Large Provider Entity Code]],B165)/J165,"NA")</f>
        <v>NA</v>
      </c>
      <c r="L165" s="152" t="str">
        <f>IFERROR(SUMIFS(TME[[#All],[Total Truncated Claims Spending]],TME[[#All],[Reporting Year]],2019,TME[[#All],[Insurance Category Code]],6,TME[[#All],[Large Provider Entity Code]],B165)/J165,"NA")</f>
        <v>NA</v>
      </c>
      <c r="M165" s="152" t="str">
        <f>IFERROR(SUMIFS(TME[[#All],[Total Non-Claims Spending]],TME[[#All],[Reporting Year]],2019,TME[[#All],[Insurance Category Code]],6,TME[[#All],[Large Provider Entity Code]],B165)/J165,"NA")</f>
        <v>NA</v>
      </c>
      <c r="N165" s="152" t="str">
        <f>IFERROR(SUMIFS(TME[[#All],[Total Non-Truncated Claims and Non-Claims Spending]],TME[[#All],[Reporting Year]],2019,TME[[#All],[Insurance Category Code]],6,TME[[#All],[Large Provider Entity Code]],B165)/J165,"NA")</f>
        <v>NA</v>
      </c>
      <c r="O165" s="152" t="str">
        <f>IFERROR(SUMIFS(TME[[#All],[Truncated Total Expenses (Total Truncated Claims Expenses + Non-Claims Expenses)]],TME[[#All],[Reporting Year]],2019,TME[[#All],[Insurance Category Code]],6,TME[[#All],[Large Provider Entity Code]],B165)/J165,"NA")</f>
        <v>NA</v>
      </c>
      <c r="P165" s="154" t="str">
        <f t="shared" si="267"/>
        <v>NA</v>
      </c>
      <c r="Q165" s="154" t="str">
        <f t="shared" si="268"/>
        <v>NA</v>
      </c>
      <c r="R165" s="154" t="str">
        <f t="shared" si="269"/>
        <v>NA</v>
      </c>
      <c r="S165" s="154" t="str">
        <f t="shared" si="270"/>
        <v>NA</v>
      </c>
      <c r="T165" s="154" t="str">
        <f t="shared" si="271"/>
        <v>NA</v>
      </c>
      <c r="U165" s="154" t="str">
        <f t="shared" si="272"/>
        <v>NA</v>
      </c>
      <c r="W165" s="123">
        <v>106</v>
      </c>
      <c r="X165" s="103" t="s">
        <v>250</v>
      </c>
      <c r="Y165" s="141">
        <f>SUMIFS(TME[[#All],[Member Months]],TME[[#All],[Reporting Year]],2019,TME[[#All],[Insurance Category Code]],6,TME[[#All],[Large Provider Entity Code]],W165)</f>
        <v>0</v>
      </c>
      <c r="Z165" s="152" t="str">
        <f>IFERROR(SUMIFS(TME[[#All],[Total Non-Truncated Claims Spending]],TME[[#All],[Reporting Year]],2019,TME[[#All],[Insurance Category Code]],6,TME[[#All],[Large Provider Entity Code]],W165)/Y165,"NA")</f>
        <v>NA</v>
      </c>
      <c r="AA165" s="152" t="str">
        <f>IFERROR(SUMIFS(TME[[#All],[Total Truncated Claims Spending]],TME[[#All],[Reporting Year]],2019,TME[[#All],[Insurance Category Code]],6,TME[[#All],[Large Provider Entity Code]],W165)/Y165,"NA")</f>
        <v>NA</v>
      </c>
      <c r="AB165" s="152" t="str">
        <f>IFERROR(SUMIFS(TME[[#All],[Total Non-Claims Spending]],TME[[#All],[Reporting Year]],2019,TME[[#All],[Insurance Category Code]],6,TME[[#All],[Large Provider Entity Code]],W165)/Y165,"NA")</f>
        <v>NA</v>
      </c>
      <c r="AC165" s="152" t="str">
        <f>IFERROR(SUMIFS(TME[[#All],[Total Non-Truncated Claims and Non-Claims Spending]],TME[[#All],[Reporting Year]],2019,TME[[#All],[Insurance Category Code]],6,TME[[#All],[Large Provider Entity Code]],W165)/Y165,"NA")</f>
        <v>NA</v>
      </c>
      <c r="AD165" s="152" t="str">
        <f>IFERROR(SUMIFS(TME[[#All],[Truncated Total Expenses (Total Truncated Claims Expenses + Non-Claims Expenses)]],TME[[#All],[Reporting Year]],2019,TME[[#All],[Insurance Category Code]],6,TME[[#All],[Large Provider Entity Code]],W165)/Y165,"NA")</f>
        <v>NA</v>
      </c>
      <c r="AE165" s="141">
        <f>SUMIFS(TME[[#All],[Member Months]],TME[[#All],[Reporting Year]],2020,TME[[#All],[Insurance Category Code]],6,TME[[#All],[Large Provider Entity Code]],W165)</f>
        <v>0</v>
      </c>
      <c r="AF165" s="152" t="str">
        <f>IFERROR(SUMIFS(TME[[#All],[Total Non-Truncated Claims Spending]],TME[[#All],[Reporting Year]],2020,TME[[#All],[Insurance Category Code]],6,TME[[#All],[Large Provider Entity Code]],W165)/AE165,"NA")</f>
        <v>NA</v>
      </c>
      <c r="AG165" s="152" t="str">
        <f>IFERROR(SUMIFS(TME[[#All],[Total Truncated Claims Spending]],TME[[#All],[Reporting Year]],2020,TME[[#All],[Insurance Category Code]],6,TME[[#All],[Large Provider Entity Code]],W165)/AE165,"NA")</f>
        <v>NA</v>
      </c>
      <c r="AH165" s="152" t="str">
        <f>IFERROR(SUMIFS(TME[[#All],[Total Non-Claims Spending]],TME[[#All],[Reporting Year]],2020,TME[[#All],[Insurance Category Code]],6,TME[[#All],[Large Provider Entity Code]],W165)/AE165,"NA")</f>
        <v>NA</v>
      </c>
      <c r="AI165" s="152" t="str">
        <f>IFERROR(SUMIFS(TME[[#All],[Total Non-Truncated Claims and Non-Claims Spending]],TME[[#All],[Reporting Year]],2020,TME[[#All],[Insurance Category Code]],6,TME[[#All],[Large Provider Entity Code]],W165)/AE165,"NA")</f>
        <v>NA</v>
      </c>
      <c r="AJ165" s="152" t="str">
        <f>IFERROR(SUMIFS(TME[[#All],[Truncated Total Expenses (Total Truncated Claims Expenses + Non-Claims Expenses)]],TME[[#All],[Reporting Year]],2020,TME[[#All],[Insurance Category Code]],6,TME[[#All],[Large Provider Entity Code]],W165)/AE165,"NA")</f>
        <v>NA</v>
      </c>
      <c r="AK165" s="154" t="str">
        <f t="shared" si="273"/>
        <v>NA</v>
      </c>
      <c r="AL165" s="154" t="str">
        <f t="shared" si="274"/>
        <v>NA</v>
      </c>
      <c r="AM165" s="154" t="str">
        <f t="shared" si="275"/>
        <v>NA</v>
      </c>
      <c r="AN165" s="154" t="str">
        <f t="shared" si="276"/>
        <v>NA</v>
      </c>
      <c r="AO165" s="154" t="str">
        <f t="shared" si="277"/>
        <v>NA</v>
      </c>
      <c r="AP165" s="154" t="str">
        <f t="shared" si="278"/>
        <v>NA</v>
      </c>
      <c r="AR165" s="123">
        <v>106</v>
      </c>
      <c r="AS165" s="103" t="s">
        <v>250</v>
      </c>
      <c r="AT165" s="141">
        <f>SUMIFS(TME[[#All],[Member Months]],TME[[#All],[Reporting Year]],2020,TME[[#All],[Insurance Category Code]],6,TME[[#All],[Large Provider Entity Code]],AR165)</f>
        <v>0</v>
      </c>
      <c r="AU165" s="152" t="str">
        <f>IFERROR(SUMIFS(TME[[#All],[Total Non-Truncated Claims Spending]],TME[[#All],[Reporting Year]],2020,TME[[#All],[Insurance Category Code]],6,TME[[#All],[Large Provider Entity Code]],AR165)/AT165,"NA")</f>
        <v>NA</v>
      </c>
      <c r="AV165" s="152" t="str">
        <f>IFERROR(SUMIFS(TME[[#All],[Total Truncated Claims Spending]],TME[[#All],[Reporting Year]],2020,TME[[#All],[Insurance Category Code]],6,TME[[#All],[Large Provider Entity Code]],AR165)/AT165,"NA")</f>
        <v>NA</v>
      </c>
      <c r="AW165" s="152" t="str">
        <f>IFERROR(SUMIFS(TME[[#All],[Total Non-Claims Spending]],TME[[#All],[Reporting Year]],2020,TME[[#All],[Insurance Category Code]],6,TME[[#All],[Large Provider Entity Code]],AR165)/AT165,"NA")</f>
        <v>NA</v>
      </c>
      <c r="AX165" s="152" t="str">
        <f>IFERROR(SUMIFS(TME[[#All],[Total Non-Truncated Claims and Non-Claims Spending]],TME[[#All],[Reporting Year]],2020,TME[[#All],[Insurance Category Code]],6,TME[[#All],[Large Provider Entity Code]],AR165)/AT165,"NA")</f>
        <v>NA</v>
      </c>
      <c r="AY165" s="152" t="str">
        <f>IFERROR(SUMIFS(TME[[#All],[Truncated Total Expenses (Total Truncated Claims Expenses + Non-Claims Expenses)]],TME[[#All],[Reporting Year]],2020,TME[[#All],[Insurance Category Code]],6,TME[[#All],[Large Provider Entity Code]],AR165)/AT165,"NA")</f>
        <v>NA</v>
      </c>
      <c r="AZ165" s="141">
        <f>SUMIFS(TME[[#All],[Member Months]],TME[[#All],[Reporting Year]],2021,TME[[#All],[Insurance Category Code]],6,TME[[#All],[Large Provider Entity Code]],AR165)</f>
        <v>0</v>
      </c>
      <c r="BA165" s="152" t="str">
        <f>IFERROR(SUMIFS(TME[[#All],[Total Non-Truncated Claims Spending]],TME[[#All],[Reporting Year]],2021,TME[[#All],[Insurance Category Code]],6,TME[[#All],[Large Provider Entity Code]],AR165)/AZ165,"NA")</f>
        <v>NA</v>
      </c>
      <c r="BB165" s="152" t="str">
        <f>IFERROR(SUMIFS(TME[[#All],[Total Truncated Claims Spending]],TME[[#All],[Reporting Year]],2021,TME[[#All],[Insurance Category Code]],6,TME[[#All],[Large Provider Entity Code]],AR165)/AZ165,"NA")</f>
        <v>NA</v>
      </c>
      <c r="BC165" s="152" t="str">
        <f>IFERROR(SUMIFS(TME[[#All],[Total Non-Claims Spending]],TME[[#All],[Reporting Year]],2021,TME[[#All],[Insurance Category Code]],6,TME[[#All],[Large Provider Entity Code]],AR165)/AZ165,"NA")</f>
        <v>NA</v>
      </c>
      <c r="BD165" s="152" t="str">
        <f>IFERROR(SUMIFS(TME[[#All],[Total Non-Truncated Claims and Non-Claims Spending]],TME[[#All],[Reporting Year]],2021,TME[[#All],[Insurance Category Code]],6,TME[[#All],[Large Provider Entity Code]],AR165)/AZ165,"NA")</f>
        <v>NA</v>
      </c>
      <c r="BE165" s="152" t="str">
        <f>IFERROR(SUMIFS(TME[[#All],[Truncated Total Expenses (Total Truncated Claims Expenses + Non-Claims Expenses)]],TME[[#All],[Reporting Year]],2021,TME[[#All],[Insurance Category Code]],6,TME[[#All],[Large Provider Entity Code]],AR165)/AZ165,"NA")</f>
        <v>NA</v>
      </c>
      <c r="BF165" s="154" t="str">
        <f t="shared" si="279"/>
        <v>NA</v>
      </c>
      <c r="BG165" s="154" t="str">
        <f t="shared" si="280"/>
        <v>NA</v>
      </c>
      <c r="BH165" s="154" t="str">
        <f t="shared" si="281"/>
        <v>NA</v>
      </c>
      <c r="BI165" s="154" t="str">
        <f t="shared" si="282"/>
        <v>NA</v>
      </c>
      <c r="BJ165" s="154" t="str">
        <f t="shared" si="283"/>
        <v>NA</v>
      </c>
      <c r="BK165" s="154" t="str">
        <f t="shared" si="284"/>
        <v>NA</v>
      </c>
    </row>
    <row r="166" spans="2:63" x14ac:dyDescent="0.35">
      <c r="B166" s="123">
        <v>107</v>
      </c>
      <c r="C166" s="103" t="s">
        <v>251</v>
      </c>
      <c r="D166" s="141">
        <f>SUMIFS(TME[[#All],[Member Months]],TME[[#All],[Reporting Year]],2018,TME[[#All],[Insurance Category Code]],6,TME[[#All],[Large Provider Entity Code]],B166)</f>
        <v>0</v>
      </c>
      <c r="E166" s="152" t="str">
        <f>IFERROR(SUMIFS(TME[[#All],[Total Non-Truncated Claims Spending]],TME[[#All],[Reporting Year]],2018,TME[[#All],[Insurance Category Code]],6,TME[[#All],[Large Provider Entity Code]],B166)/D166,"NA")</f>
        <v>NA</v>
      </c>
      <c r="F166" s="152" t="str">
        <f>IFERROR(SUMIFS(TME[[#All],[Total Truncated Claims Spending]],TME[[#All],[Reporting Year]],2018,TME[[#All],[Insurance Category Code]],6,TME[[#All],[Large Provider Entity Code]],B166)/D166,"NA")</f>
        <v>NA</v>
      </c>
      <c r="G166" s="152" t="str">
        <f>IFERROR(SUMIFS(TME[[#All],[Total Non-Claims Spending]],TME[[#All],[Reporting Year]],2018,TME[[#All],[Insurance Category Code]],6,TME[[#All],[Large Provider Entity Code]],B166)/D166,"NA")</f>
        <v>NA</v>
      </c>
      <c r="H166" s="152" t="str">
        <f>IFERROR(SUMIFS(TME[[#All],[Total Non-Truncated Claims and Non-Claims Spending]],TME[[#All],[Reporting Year]],2018,TME[[#All],[Insurance Category Code]],6,TME[[#All],[Large Provider Entity Code]],B166)/D166,"NA")</f>
        <v>NA</v>
      </c>
      <c r="I166" s="152" t="str">
        <f>IFERROR(SUMIFS(TME[[#All],[Truncated Total Expenses (Total Truncated Claims Expenses + Non-Claims Expenses)]],TME[[#All],[Reporting Year]],2018,TME[[#All],[Insurance Category Code]],6,TME[[#All],[Large Provider Entity Code]],B166)/D166,"NA")</f>
        <v>NA</v>
      </c>
      <c r="J166" s="141">
        <f>SUMIFS(TME[[#All],[Member Months]],TME[[#All],[Reporting Year]],2019,TME[[#All],[Insurance Category Code]],6,TME[[#All],[Large Provider Entity Code]],B166)</f>
        <v>0</v>
      </c>
      <c r="K166" s="152" t="str">
        <f>IFERROR(SUMIFS(TME[[#All],[Total Non-Truncated Claims Spending]],TME[[#All],[Reporting Year]],2019,TME[[#All],[Insurance Category Code]],6,TME[[#All],[Large Provider Entity Code]],B166)/J166,"NA")</f>
        <v>NA</v>
      </c>
      <c r="L166" s="152" t="str">
        <f>IFERROR(SUMIFS(TME[[#All],[Total Truncated Claims Spending]],TME[[#All],[Reporting Year]],2019,TME[[#All],[Insurance Category Code]],6,TME[[#All],[Large Provider Entity Code]],B166)/J166,"NA")</f>
        <v>NA</v>
      </c>
      <c r="M166" s="152" t="str">
        <f>IFERROR(SUMIFS(TME[[#All],[Total Non-Claims Spending]],TME[[#All],[Reporting Year]],2019,TME[[#All],[Insurance Category Code]],6,TME[[#All],[Large Provider Entity Code]],B166)/J166,"NA")</f>
        <v>NA</v>
      </c>
      <c r="N166" s="152" t="str">
        <f>IFERROR(SUMIFS(TME[[#All],[Total Non-Truncated Claims and Non-Claims Spending]],TME[[#All],[Reporting Year]],2019,TME[[#All],[Insurance Category Code]],6,TME[[#All],[Large Provider Entity Code]],B166)/J166,"NA")</f>
        <v>NA</v>
      </c>
      <c r="O166" s="152" t="str">
        <f>IFERROR(SUMIFS(TME[[#All],[Truncated Total Expenses (Total Truncated Claims Expenses + Non-Claims Expenses)]],TME[[#All],[Reporting Year]],2019,TME[[#All],[Insurance Category Code]],6,TME[[#All],[Large Provider Entity Code]],B166)/J166,"NA")</f>
        <v>NA</v>
      </c>
      <c r="P166" s="154" t="str">
        <f t="shared" si="267"/>
        <v>NA</v>
      </c>
      <c r="Q166" s="154" t="str">
        <f t="shared" si="268"/>
        <v>NA</v>
      </c>
      <c r="R166" s="154" t="str">
        <f t="shared" si="269"/>
        <v>NA</v>
      </c>
      <c r="S166" s="154" t="str">
        <f t="shared" si="270"/>
        <v>NA</v>
      </c>
      <c r="T166" s="154" t="str">
        <f t="shared" si="271"/>
        <v>NA</v>
      </c>
      <c r="U166" s="154" t="str">
        <f t="shared" si="272"/>
        <v>NA</v>
      </c>
      <c r="W166" s="123">
        <v>107</v>
      </c>
      <c r="X166" s="103" t="s">
        <v>251</v>
      </c>
      <c r="Y166" s="141">
        <f>SUMIFS(TME[[#All],[Member Months]],TME[[#All],[Reporting Year]],2019,TME[[#All],[Insurance Category Code]],6,TME[[#All],[Large Provider Entity Code]],W166)</f>
        <v>0</v>
      </c>
      <c r="Z166" s="152" t="str">
        <f>IFERROR(SUMIFS(TME[[#All],[Total Non-Truncated Claims Spending]],TME[[#All],[Reporting Year]],2019,TME[[#All],[Insurance Category Code]],6,TME[[#All],[Large Provider Entity Code]],W166)/Y166,"NA")</f>
        <v>NA</v>
      </c>
      <c r="AA166" s="152" t="str">
        <f>IFERROR(SUMIFS(TME[[#All],[Total Truncated Claims Spending]],TME[[#All],[Reporting Year]],2019,TME[[#All],[Insurance Category Code]],6,TME[[#All],[Large Provider Entity Code]],W166)/Y166,"NA")</f>
        <v>NA</v>
      </c>
      <c r="AB166" s="152" t="str">
        <f>IFERROR(SUMIFS(TME[[#All],[Total Non-Claims Spending]],TME[[#All],[Reporting Year]],2019,TME[[#All],[Insurance Category Code]],6,TME[[#All],[Large Provider Entity Code]],W166)/Y166,"NA")</f>
        <v>NA</v>
      </c>
      <c r="AC166" s="152" t="str">
        <f>IFERROR(SUMIFS(TME[[#All],[Total Non-Truncated Claims and Non-Claims Spending]],TME[[#All],[Reporting Year]],2019,TME[[#All],[Insurance Category Code]],6,TME[[#All],[Large Provider Entity Code]],W166)/Y166,"NA")</f>
        <v>NA</v>
      </c>
      <c r="AD166" s="152" t="str">
        <f>IFERROR(SUMIFS(TME[[#All],[Truncated Total Expenses (Total Truncated Claims Expenses + Non-Claims Expenses)]],TME[[#All],[Reporting Year]],2019,TME[[#All],[Insurance Category Code]],6,TME[[#All],[Large Provider Entity Code]],W166)/Y166,"NA")</f>
        <v>NA</v>
      </c>
      <c r="AE166" s="141">
        <f>SUMIFS(TME[[#All],[Member Months]],TME[[#All],[Reporting Year]],2020,TME[[#All],[Insurance Category Code]],6,TME[[#All],[Large Provider Entity Code]],W166)</f>
        <v>0</v>
      </c>
      <c r="AF166" s="152" t="str">
        <f>IFERROR(SUMIFS(TME[[#All],[Total Non-Truncated Claims Spending]],TME[[#All],[Reporting Year]],2020,TME[[#All],[Insurance Category Code]],6,TME[[#All],[Large Provider Entity Code]],W166)/AE166,"NA")</f>
        <v>NA</v>
      </c>
      <c r="AG166" s="152" t="str">
        <f>IFERROR(SUMIFS(TME[[#All],[Total Truncated Claims Spending]],TME[[#All],[Reporting Year]],2020,TME[[#All],[Insurance Category Code]],6,TME[[#All],[Large Provider Entity Code]],W166)/AE166,"NA")</f>
        <v>NA</v>
      </c>
      <c r="AH166" s="152" t="str">
        <f>IFERROR(SUMIFS(TME[[#All],[Total Non-Claims Spending]],TME[[#All],[Reporting Year]],2020,TME[[#All],[Insurance Category Code]],6,TME[[#All],[Large Provider Entity Code]],W166)/AE166,"NA")</f>
        <v>NA</v>
      </c>
      <c r="AI166" s="152" t="str">
        <f>IFERROR(SUMIFS(TME[[#All],[Total Non-Truncated Claims and Non-Claims Spending]],TME[[#All],[Reporting Year]],2020,TME[[#All],[Insurance Category Code]],6,TME[[#All],[Large Provider Entity Code]],W166)/AE166,"NA")</f>
        <v>NA</v>
      </c>
      <c r="AJ166" s="152" t="str">
        <f>IFERROR(SUMIFS(TME[[#All],[Truncated Total Expenses (Total Truncated Claims Expenses + Non-Claims Expenses)]],TME[[#All],[Reporting Year]],2020,TME[[#All],[Insurance Category Code]],6,TME[[#All],[Large Provider Entity Code]],W166)/AE166,"NA")</f>
        <v>NA</v>
      </c>
      <c r="AK166" s="154" t="str">
        <f t="shared" si="273"/>
        <v>NA</v>
      </c>
      <c r="AL166" s="154" t="str">
        <f t="shared" si="274"/>
        <v>NA</v>
      </c>
      <c r="AM166" s="154" t="str">
        <f t="shared" si="275"/>
        <v>NA</v>
      </c>
      <c r="AN166" s="154" t="str">
        <f t="shared" si="276"/>
        <v>NA</v>
      </c>
      <c r="AO166" s="154" t="str">
        <f t="shared" si="277"/>
        <v>NA</v>
      </c>
      <c r="AP166" s="154" t="str">
        <f t="shared" si="278"/>
        <v>NA</v>
      </c>
      <c r="AR166" s="123">
        <v>107</v>
      </c>
      <c r="AS166" s="103" t="s">
        <v>251</v>
      </c>
      <c r="AT166" s="141">
        <f>SUMIFS(TME[[#All],[Member Months]],TME[[#All],[Reporting Year]],2020,TME[[#All],[Insurance Category Code]],6,TME[[#All],[Large Provider Entity Code]],AR166)</f>
        <v>0</v>
      </c>
      <c r="AU166" s="152" t="str">
        <f>IFERROR(SUMIFS(TME[[#All],[Total Non-Truncated Claims Spending]],TME[[#All],[Reporting Year]],2020,TME[[#All],[Insurance Category Code]],6,TME[[#All],[Large Provider Entity Code]],AR166)/AT166,"NA")</f>
        <v>NA</v>
      </c>
      <c r="AV166" s="152" t="str">
        <f>IFERROR(SUMIFS(TME[[#All],[Total Truncated Claims Spending]],TME[[#All],[Reporting Year]],2020,TME[[#All],[Insurance Category Code]],6,TME[[#All],[Large Provider Entity Code]],AR166)/AT166,"NA")</f>
        <v>NA</v>
      </c>
      <c r="AW166" s="152" t="str">
        <f>IFERROR(SUMIFS(TME[[#All],[Total Non-Claims Spending]],TME[[#All],[Reporting Year]],2020,TME[[#All],[Insurance Category Code]],6,TME[[#All],[Large Provider Entity Code]],AR166)/AT166,"NA")</f>
        <v>NA</v>
      </c>
      <c r="AX166" s="152" t="str">
        <f>IFERROR(SUMIFS(TME[[#All],[Total Non-Truncated Claims and Non-Claims Spending]],TME[[#All],[Reporting Year]],2020,TME[[#All],[Insurance Category Code]],6,TME[[#All],[Large Provider Entity Code]],AR166)/AT166,"NA")</f>
        <v>NA</v>
      </c>
      <c r="AY166" s="152" t="str">
        <f>IFERROR(SUMIFS(TME[[#All],[Truncated Total Expenses (Total Truncated Claims Expenses + Non-Claims Expenses)]],TME[[#All],[Reporting Year]],2020,TME[[#All],[Insurance Category Code]],6,TME[[#All],[Large Provider Entity Code]],AR166)/AT166,"NA")</f>
        <v>NA</v>
      </c>
      <c r="AZ166" s="141">
        <f>SUMIFS(TME[[#All],[Member Months]],TME[[#All],[Reporting Year]],2021,TME[[#All],[Insurance Category Code]],6,TME[[#All],[Large Provider Entity Code]],AR166)</f>
        <v>0</v>
      </c>
      <c r="BA166" s="152" t="str">
        <f>IFERROR(SUMIFS(TME[[#All],[Total Non-Truncated Claims Spending]],TME[[#All],[Reporting Year]],2021,TME[[#All],[Insurance Category Code]],6,TME[[#All],[Large Provider Entity Code]],AR166)/AZ166,"NA")</f>
        <v>NA</v>
      </c>
      <c r="BB166" s="152" t="str">
        <f>IFERROR(SUMIFS(TME[[#All],[Total Truncated Claims Spending]],TME[[#All],[Reporting Year]],2021,TME[[#All],[Insurance Category Code]],6,TME[[#All],[Large Provider Entity Code]],AR166)/AZ166,"NA")</f>
        <v>NA</v>
      </c>
      <c r="BC166" s="152" t="str">
        <f>IFERROR(SUMIFS(TME[[#All],[Total Non-Claims Spending]],TME[[#All],[Reporting Year]],2021,TME[[#All],[Insurance Category Code]],6,TME[[#All],[Large Provider Entity Code]],AR166)/AZ166,"NA")</f>
        <v>NA</v>
      </c>
      <c r="BD166" s="152" t="str">
        <f>IFERROR(SUMIFS(TME[[#All],[Total Non-Truncated Claims and Non-Claims Spending]],TME[[#All],[Reporting Year]],2021,TME[[#All],[Insurance Category Code]],6,TME[[#All],[Large Provider Entity Code]],AR166)/AZ166,"NA")</f>
        <v>NA</v>
      </c>
      <c r="BE166" s="152" t="str">
        <f>IFERROR(SUMIFS(TME[[#All],[Truncated Total Expenses (Total Truncated Claims Expenses + Non-Claims Expenses)]],TME[[#All],[Reporting Year]],2021,TME[[#All],[Insurance Category Code]],6,TME[[#All],[Large Provider Entity Code]],AR166)/AZ166,"NA")</f>
        <v>NA</v>
      </c>
      <c r="BF166" s="154" t="str">
        <f t="shared" si="279"/>
        <v>NA</v>
      </c>
      <c r="BG166" s="154" t="str">
        <f t="shared" si="280"/>
        <v>NA</v>
      </c>
      <c r="BH166" s="154" t="str">
        <f t="shared" si="281"/>
        <v>NA</v>
      </c>
      <c r="BI166" s="154" t="str">
        <f t="shared" si="282"/>
        <v>NA</v>
      </c>
      <c r="BJ166" s="154" t="str">
        <f t="shared" si="283"/>
        <v>NA</v>
      </c>
      <c r="BK166" s="154" t="str">
        <f t="shared" si="284"/>
        <v>NA</v>
      </c>
    </row>
    <row r="167" spans="2:63" x14ac:dyDescent="0.35">
      <c r="B167" s="123">
        <v>108</v>
      </c>
      <c r="C167" s="103" t="s">
        <v>252</v>
      </c>
      <c r="D167" s="141">
        <f>SUMIFS(TME[[#All],[Member Months]],TME[[#All],[Reporting Year]],2018,TME[[#All],[Insurance Category Code]],6,TME[[#All],[Large Provider Entity Code]],B167)</f>
        <v>0</v>
      </c>
      <c r="E167" s="152" t="str">
        <f>IFERROR(SUMIFS(TME[[#All],[Total Non-Truncated Claims Spending]],TME[[#All],[Reporting Year]],2018,TME[[#All],[Insurance Category Code]],6,TME[[#All],[Large Provider Entity Code]],B167)/D167,"NA")</f>
        <v>NA</v>
      </c>
      <c r="F167" s="152" t="str">
        <f>IFERROR(SUMIFS(TME[[#All],[Total Truncated Claims Spending]],TME[[#All],[Reporting Year]],2018,TME[[#All],[Insurance Category Code]],6,TME[[#All],[Large Provider Entity Code]],B167)/D167,"NA")</f>
        <v>NA</v>
      </c>
      <c r="G167" s="152" t="str">
        <f>IFERROR(SUMIFS(TME[[#All],[Total Non-Claims Spending]],TME[[#All],[Reporting Year]],2018,TME[[#All],[Insurance Category Code]],6,TME[[#All],[Large Provider Entity Code]],B167)/D167,"NA")</f>
        <v>NA</v>
      </c>
      <c r="H167" s="152" t="str">
        <f>IFERROR(SUMIFS(TME[[#All],[Total Non-Truncated Claims and Non-Claims Spending]],TME[[#All],[Reporting Year]],2018,TME[[#All],[Insurance Category Code]],6,TME[[#All],[Large Provider Entity Code]],B167)/D167,"NA")</f>
        <v>NA</v>
      </c>
      <c r="I167" s="152" t="str">
        <f>IFERROR(SUMIFS(TME[[#All],[Truncated Total Expenses (Total Truncated Claims Expenses + Non-Claims Expenses)]],TME[[#All],[Reporting Year]],2018,TME[[#All],[Insurance Category Code]],6,TME[[#All],[Large Provider Entity Code]],B167)/D167,"NA")</f>
        <v>NA</v>
      </c>
      <c r="J167" s="141">
        <f>SUMIFS(TME[[#All],[Member Months]],TME[[#All],[Reporting Year]],2019,TME[[#All],[Insurance Category Code]],6,TME[[#All],[Large Provider Entity Code]],B167)</f>
        <v>0</v>
      </c>
      <c r="K167" s="152" t="str">
        <f>IFERROR(SUMIFS(TME[[#All],[Total Non-Truncated Claims Spending]],TME[[#All],[Reporting Year]],2019,TME[[#All],[Insurance Category Code]],6,TME[[#All],[Large Provider Entity Code]],B167)/J167,"NA")</f>
        <v>NA</v>
      </c>
      <c r="L167" s="152" t="str">
        <f>IFERROR(SUMIFS(TME[[#All],[Total Truncated Claims Spending]],TME[[#All],[Reporting Year]],2019,TME[[#All],[Insurance Category Code]],6,TME[[#All],[Large Provider Entity Code]],B167)/J167,"NA")</f>
        <v>NA</v>
      </c>
      <c r="M167" s="152" t="str">
        <f>IFERROR(SUMIFS(TME[[#All],[Total Non-Claims Spending]],TME[[#All],[Reporting Year]],2019,TME[[#All],[Insurance Category Code]],6,TME[[#All],[Large Provider Entity Code]],B167)/J167,"NA")</f>
        <v>NA</v>
      </c>
      <c r="N167" s="152" t="str">
        <f>IFERROR(SUMIFS(TME[[#All],[Total Non-Truncated Claims and Non-Claims Spending]],TME[[#All],[Reporting Year]],2019,TME[[#All],[Insurance Category Code]],6,TME[[#All],[Large Provider Entity Code]],B167)/J167,"NA")</f>
        <v>NA</v>
      </c>
      <c r="O167" s="152" t="str">
        <f>IFERROR(SUMIFS(TME[[#All],[Truncated Total Expenses (Total Truncated Claims Expenses + Non-Claims Expenses)]],TME[[#All],[Reporting Year]],2019,TME[[#All],[Insurance Category Code]],6,TME[[#All],[Large Provider Entity Code]],B167)/J167,"NA")</f>
        <v>NA</v>
      </c>
      <c r="P167" s="154" t="str">
        <f t="shared" si="267"/>
        <v>NA</v>
      </c>
      <c r="Q167" s="154" t="str">
        <f t="shared" si="268"/>
        <v>NA</v>
      </c>
      <c r="R167" s="154" t="str">
        <f t="shared" si="269"/>
        <v>NA</v>
      </c>
      <c r="S167" s="154" t="str">
        <f t="shared" si="270"/>
        <v>NA</v>
      </c>
      <c r="T167" s="154" t="str">
        <f t="shared" si="271"/>
        <v>NA</v>
      </c>
      <c r="U167" s="154" t="str">
        <f t="shared" si="272"/>
        <v>NA</v>
      </c>
      <c r="W167" s="123">
        <v>108</v>
      </c>
      <c r="X167" s="103" t="s">
        <v>252</v>
      </c>
      <c r="Y167" s="141">
        <f>SUMIFS(TME[[#All],[Member Months]],TME[[#All],[Reporting Year]],2019,TME[[#All],[Insurance Category Code]],6,TME[[#All],[Large Provider Entity Code]],W167)</f>
        <v>0</v>
      </c>
      <c r="Z167" s="152" t="str">
        <f>IFERROR(SUMIFS(TME[[#All],[Total Non-Truncated Claims Spending]],TME[[#All],[Reporting Year]],2019,TME[[#All],[Insurance Category Code]],6,TME[[#All],[Large Provider Entity Code]],W167)/Y167,"NA")</f>
        <v>NA</v>
      </c>
      <c r="AA167" s="152" t="str">
        <f>IFERROR(SUMIFS(TME[[#All],[Total Truncated Claims Spending]],TME[[#All],[Reporting Year]],2019,TME[[#All],[Insurance Category Code]],6,TME[[#All],[Large Provider Entity Code]],W167)/Y167,"NA")</f>
        <v>NA</v>
      </c>
      <c r="AB167" s="152" t="str">
        <f>IFERROR(SUMIFS(TME[[#All],[Total Non-Claims Spending]],TME[[#All],[Reporting Year]],2019,TME[[#All],[Insurance Category Code]],6,TME[[#All],[Large Provider Entity Code]],W167)/Y167,"NA")</f>
        <v>NA</v>
      </c>
      <c r="AC167" s="152" t="str">
        <f>IFERROR(SUMIFS(TME[[#All],[Total Non-Truncated Claims and Non-Claims Spending]],TME[[#All],[Reporting Year]],2019,TME[[#All],[Insurance Category Code]],6,TME[[#All],[Large Provider Entity Code]],W167)/Y167,"NA")</f>
        <v>NA</v>
      </c>
      <c r="AD167" s="152" t="str">
        <f>IFERROR(SUMIFS(TME[[#All],[Truncated Total Expenses (Total Truncated Claims Expenses + Non-Claims Expenses)]],TME[[#All],[Reporting Year]],2019,TME[[#All],[Insurance Category Code]],6,TME[[#All],[Large Provider Entity Code]],W167)/Y167,"NA")</f>
        <v>NA</v>
      </c>
      <c r="AE167" s="141">
        <f>SUMIFS(TME[[#All],[Member Months]],TME[[#All],[Reporting Year]],2020,TME[[#All],[Insurance Category Code]],6,TME[[#All],[Large Provider Entity Code]],W167)</f>
        <v>0</v>
      </c>
      <c r="AF167" s="152" t="str">
        <f>IFERROR(SUMIFS(TME[[#All],[Total Non-Truncated Claims Spending]],TME[[#All],[Reporting Year]],2020,TME[[#All],[Insurance Category Code]],6,TME[[#All],[Large Provider Entity Code]],W167)/AE167,"NA")</f>
        <v>NA</v>
      </c>
      <c r="AG167" s="152" t="str">
        <f>IFERROR(SUMIFS(TME[[#All],[Total Truncated Claims Spending]],TME[[#All],[Reporting Year]],2020,TME[[#All],[Insurance Category Code]],6,TME[[#All],[Large Provider Entity Code]],W167)/AE167,"NA")</f>
        <v>NA</v>
      </c>
      <c r="AH167" s="152" t="str">
        <f>IFERROR(SUMIFS(TME[[#All],[Total Non-Claims Spending]],TME[[#All],[Reporting Year]],2020,TME[[#All],[Insurance Category Code]],6,TME[[#All],[Large Provider Entity Code]],W167)/AE167,"NA")</f>
        <v>NA</v>
      </c>
      <c r="AI167" s="152" t="str">
        <f>IFERROR(SUMIFS(TME[[#All],[Total Non-Truncated Claims and Non-Claims Spending]],TME[[#All],[Reporting Year]],2020,TME[[#All],[Insurance Category Code]],6,TME[[#All],[Large Provider Entity Code]],W167)/AE167,"NA")</f>
        <v>NA</v>
      </c>
      <c r="AJ167" s="152" t="str">
        <f>IFERROR(SUMIFS(TME[[#All],[Truncated Total Expenses (Total Truncated Claims Expenses + Non-Claims Expenses)]],TME[[#All],[Reporting Year]],2020,TME[[#All],[Insurance Category Code]],6,TME[[#All],[Large Provider Entity Code]],W167)/AE167,"NA")</f>
        <v>NA</v>
      </c>
      <c r="AK167" s="154" t="str">
        <f t="shared" si="273"/>
        <v>NA</v>
      </c>
      <c r="AL167" s="154" t="str">
        <f t="shared" si="274"/>
        <v>NA</v>
      </c>
      <c r="AM167" s="154" t="str">
        <f t="shared" si="275"/>
        <v>NA</v>
      </c>
      <c r="AN167" s="154" t="str">
        <f t="shared" si="276"/>
        <v>NA</v>
      </c>
      <c r="AO167" s="154" t="str">
        <f t="shared" si="277"/>
        <v>NA</v>
      </c>
      <c r="AP167" s="154" t="str">
        <f t="shared" si="278"/>
        <v>NA</v>
      </c>
      <c r="AR167" s="123">
        <v>108</v>
      </c>
      <c r="AS167" s="103" t="s">
        <v>252</v>
      </c>
      <c r="AT167" s="141">
        <f>SUMIFS(TME[[#All],[Member Months]],TME[[#All],[Reporting Year]],2020,TME[[#All],[Insurance Category Code]],6,TME[[#All],[Large Provider Entity Code]],AR167)</f>
        <v>0</v>
      </c>
      <c r="AU167" s="152" t="str">
        <f>IFERROR(SUMIFS(TME[[#All],[Total Non-Truncated Claims Spending]],TME[[#All],[Reporting Year]],2020,TME[[#All],[Insurance Category Code]],6,TME[[#All],[Large Provider Entity Code]],AR167)/AT167,"NA")</f>
        <v>NA</v>
      </c>
      <c r="AV167" s="152" t="str">
        <f>IFERROR(SUMIFS(TME[[#All],[Total Truncated Claims Spending]],TME[[#All],[Reporting Year]],2020,TME[[#All],[Insurance Category Code]],6,TME[[#All],[Large Provider Entity Code]],AR167)/AT167,"NA")</f>
        <v>NA</v>
      </c>
      <c r="AW167" s="152" t="str">
        <f>IFERROR(SUMIFS(TME[[#All],[Total Non-Claims Spending]],TME[[#All],[Reporting Year]],2020,TME[[#All],[Insurance Category Code]],6,TME[[#All],[Large Provider Entity Code]],AR167)/AT167,"NA")</f>
        <v>NA</v>
      </c>
      <c r="AX167" s="152" t="str">
        <f>IFERROR(SUMIFS(TME[[#All],[Total Non-Truncated Claims and Non-Claims Spending]],TME[[#All],[Reporting Year]],2020,TME[[#All],[Insurance Category Code]],6,TME[[#All],[Large Provider Entity Code]],AR167)/AT167,"NA")</f>
        <v>NA</v>
      </c>
      <c r="AY167" s="152" t="str">
        <f>IFERROR(SUMIFS(TME[[#All],[Truncated Total Expenses (Total Truncated Claims Expenses + Non-Claims Expenses)]],TME[[#All],[Reporting Year]],2020,TME[[#All],[Insurance Category Code]],6,TME[[#All],[Large Provider Entity Code]],AR167)/AT167,"NA")</f>
        <v>NA</v>
      </c>
      <c r="AZ167" s="141">
        <f>SUMIFS(TME[[#All],[Member Months]],TME[[#All],[Reporting Year]],2021,TME[[#All],[Insurance Category Code]],6,TME[[#All],[Large Provider Entity Code]],AR167)</f>
        <v>0</v>
      </c>
      <c r="BA167" s="152" t="str">
        <f>IFERROR(SUMIFS(TME[[#All],[Total Non-Truncated Claims Spending]],TME[[#All],[Reporting Year]],2021,TME[[#All],[Insurance Category Code]],6,TME[[#All],[Large Provider Entity Code]],AR167)/AZ167,"NA")</f>
        <v>NA</v>
      </c>
      <c r="BB167" s="152" t="str">
        <f>IFERROR(SUMIFS(TME[[#All],[Total Truncated Claims Spending]],TME[[#All],[Reporting Year]],2021,TME[[#All],[Insurance Category Code]],6,TME[[#All],[Large Provider Entity Code]],AR167)/AZ167,"NA")</f>
        <v>NA</v>
      </c>
      <c r="BC167" s="152" t="str">
        <f>IFERROR(SUMIFS(TME[[#All],[Total Non-Claims Spending]],TME[[#All],[Reporting Year]],2021,TME[[#All],[Insurance Category Code]],6,TME[[#All],[Large Provider Entity Code]],AR167)/AZ167,"NA")</f>
        <v>NA</v>
      </c>
      <c r="BD167" s="152" t="str">
        <f>IFERROR(SUMIFS(TME[[#All],[Total Non-Truncated Claims and Non-Claims Spending]],TME[[#All],[Reporting Year]],2021,TME[[#All],[Insurance Category Code]],6,TME[[#All],[Large Provider Entity Code]],AR167)/AZ167,"NA")</f>
        <v>NA</v>
      </c>
      <c r="BE167" s="152" t="str">
        <f>IFERROR(SUMIFS(TME[[#All],[Truncated Total Expenses (Total Truncated Claims Expenses + Non-Claims Expenses)]],TME[[#All],[Reporting Year]],2021,TME[[#All],[Insurance Category Code]],6,TME[[#All],[Large Provider Entity Code]],AR167)/AZ167,"NA")</f>
        <v>NA</v>
      </c>
      <c r="BF167" s="154" t="str">
        <f t="shared" si="279"/>
        <v>NA</v>
      </c>
      <c r="BG167" s="154" t="str">
        <f t="shared" si="280"/>
        <v>NA</v>
      </c>
      <c r="BH167" s="154" t="str">
        <f t="shared" si="281"/>
        <v>NA</v>
      </c>
      <c r="BI167" s="154" t="str">
        <f t="shared" si="282"/>
        <v>NA</v>
      </c>
      <c r="BJ167" s="154" t="str">
        <f t="shared" si="283"/>
        <v>NA</v>
      </c>
      <c r="BK167" s="154" t="str">
        <f t="shared" si="284"/>
        <v>NA</v>
      </c>
    </row>
    <row r="168" spans="2:63" x14ac:dyDescent="0.35">
      <c r="B168" s="123">
        <v>109</v>
      </c>
      <c r="C168" s="103" t="s">
        <v>253</v>
      </c>
      <c r="D168" s="141">
        <f>SUMIFS(TME[[#All],[Member Months]],TME[[#All],[Reporting Year]],2018,TME[[#All],[Insurance Category Code]],6,TME[[#All],[Large Provider Entity Code]],B168)</f>
        <v>0</v>
      </c>
      <c r="E168" s="152" t="str">
        <f>IFERROR(SUMIFS(TME[[#All],[Total Non-Truncated Claims Spending]],TME[[#All],[Reporting Year]],2018,TME[[#All],[Insurance Category Code]],6,TME[[#All],[Large Provider Entity Code]],B168)/D168,"NA")</f>
        <v>NA</v>
      </c>
      <c r="F168" s="152" t="str">
        <f>IFERROR(SUMIFS(TME[[#All],[Total Truncated Claims Spending]],TME[[#All],[Reporting Year]],2018,TME[[#All],[Insurance Category Code]],6,TME[[#All],[Large Provider Entity Code]],B168)/D168,"NA")</f>
        <v>NA</v>
      </c>
      <c r="G168" s="152" t="str">
        <f>IFERROR(SUMIFS(TME[[#All],[Total Non-Claims Spending]],TME[[#All],[Reporting Year]],2018,TME[[#All],[Insurance Category Code]],6,TME[[#All],[Large Provider Entity Code]],B168)/D168,"NA")</f>
        <v>NA</v>
      </c>
      <c r="H168" s="152" t="str">
        <f>IFERROR(SUMIFS(TME[[#All],[Total Non-Truncated Claims and Non-Claims Spending]],TME[[#All],[Reporting Year]],2018,TME[[#All],[Insurance Category Code]],6,TME[[#All],[Large Provider Entity Code]],B168)/D168,"NA")</f>
        <v>NA</v>
      </c>
      <c r="I168" s="152" t="str">
        <f>IFERROR(SUMIFS(TME[[#All],[Truncated Total Expenses (Total Truncated Claims Expenses + Non-Claims Expenses)]],TME[[#All],[Reporting Year]],2018,TME[[#All],[Insurance Category Code]],6,TME[[#All],[Large Provider Entity Code]],B168)/D168,"NA")</f>
        <v>NA</v>
      </c>
      <c r="J168" s="141">
        <f>SUMIFS(TME[[#All],[Member Months]],TME[[#All],[Reporting Year]],2019,TME[[#All],[Insurance Category Code]],6,TME[[#All],[Large Provider Entity Code]],B168)</f>
        <v>0</v>
      </c>
      <c r="K168" s="152" t="str">
        <f>IFERROR(SUMIFS(TME[[#All],[Total Non-Truncated Claims Spending]],TME[[#All],[Reporting Year]],2019,TME[[#All],[Insurance Category Code]],6,TME[[#All],[Large Provider Entity Code]],B168)/J168,"NA")</f>
        <v>NA</v>
      </c>
      <c r="L168" s="152" t="str">
        <f>IFERROR(SUMIFS(TME[[#All],[Total Truncated Claims Spending]],TME[[#All],[Reporting Year]],2019,TME[[#All],[Insurance Category Code]],6,TME[[#All],[Large Provider Entity Code]],B168)/J168,"NA")</f>
        <v>NA</v>
      </c>
      <c r="M168" s="152" t="str">
        <f>IFERROR(SUMIFS(TME[[#All],[Total Non-Claims Spending]],TME[[#All],[Reporting Year]],2019,TME[[#All],[Insurance Category Code]],6,TME[[#All],[Large Provider Entity Code]],B168)/J168,"NA")</f>
        <v>NA</v>
      </c>
      <c r="N168" s="152" t="str">
        <f>IFERROR(SUMIFS(TME[[#All],[Total Non-Truncated Claims and Non-Claims Spending]],TME[[#All],[Reporting Year]],2019,TME[[#All],[Insurance Category Code]],6,TME[[#All],[Large Provider Entity Code]],B168)/J168,"NA")</f>
        <v>NA</v>
      </c>
      <c r="O168" s="152" t="str">
        <f>IFERROR(SUMIFS(TME[[#All],[Truncated Total Expenses (Total Truncated Claims Expenses + Non-Claims Expenses)]],TME[[#All],[Reporting Year]],2019,TME[[#All],[Insurance Category Code]],6,TME[[#All],[Large Provider Entity Code]],B168)/J168,"NA")</f>
        <v>NA</v>
      </c>
      <c r="P168" s="154" t="str">
        <f t="shared" si="267"/>
        <v>NA</v>
      </c>
      <c r="Q168" s="154" t="str">
        <f t="shared" si="268"/>
        <v>NA</v>
      </c>
      <c r="R168" s="154" t="str">
        <f t="shared" si="269"/>
        <v>NA</v>
      </c>
      <c r="S168" s="154" t="str">
        <f t="shared" si="270"/>
        <v>NA</v>
      </c>
      <c r="T168" s="154" t="str">
        <f t="shared" si="271"/>
        <v>NA</v>
      </c>
      <c r="U168" s="154" t="str">
        <f t="shared" si="272"/>
        <v>NA</v>
      </c>
      <c r="W168" s="123">
        <v>109</v>
      </c>
      <c r="X168" s="103" t="s">
        <v>253</v>
      </c>
      <c r="Y168" s="141">
        <f>SUMIFS(TME[[#All],[Member Months]],TME[[#All],[Reporting Year]],2019,TME[[#All],[Insurance Category Code]],6,TME[[#All],[Large Provider Entity Code]],W168)</f>
        <v>0</v>
      </c>
      <c r="Z168" s="152" t="str">
        <f>IFERROR(SUMIFS(TME[[#All],[Total Non-Truncated Claims Spending]],TME[[#All],[Reporting Year]],2019,TME[[#All],[Insurance Category Code]],6,TME[[#All],[Large Provider Entity Code]],W168)/Y168,"NA")</f>
        <v>NA</v>
      </c>
      <c r="AA168" s="152" t="str">
        <f>IFERROR(SUMIFS(TME[[#All],[Total Truncated Claims Spending]],TME[[#All],[Reporting Year]],2019,TME[[#All],[Insurance Category Code]],6,TME[[#All],[Large Provider Entity Code]],W168)/Y168,"NA")</f>
        <v>NA</v>
      </c>
      <c r="AB168" s="152" t="str">
        <f>IFERROR(SUMIFS(TME[[#All],[Total Non-Claims Spending]],TME[[#All],[Reporting Year]],2019,TME[[#All],[Insurance Category Code]],6,TME[[#All],[Large Provider Entity Code]],W168)/Y168,"NA")</f>
        <v>NA</v>
      </c>
      <c r="AC168" s="152" t="str">
        <f>IFERROR(SUMIFS(TME[[#All],[Total Non-Truncated Claims and Non-Claims Spending]],TME[[#All],[Reporting Year]],2019,TME[[#All],[Insurance Category Code]],6,TME[[#All],[Large Provider Entity Code]],W168)/Y168,"NA")</f>
        <v>NA</v>
      </c>
      <c r="AD168" s="152" t="str">
        <f>IFERROR(SUMIFS(TME[[#All],[Truncated Total Expenses (Total Truncated Claims Expenses + Non-Claims Expenses)]],TME[[#All],[Reporting Year]],2019,TME[[#All],[Insurance Category Code]],6,TME[[#All],[Large Provider Entity Code]],W168)/Y168,"NA")</f>
        <v>NA</v>
      </c>
      <c r="AE168" s="141">
        <f>SUMIFS(TME[[#All],[Member Months]],TME[[#All],[Reporting Year]],2020,TME[[#All],[Insurance Category Code]],6,TME[[#All],[Large Provider Entity Code]],W168)</f>
        <v>0</v>
      </c>
      <c r="AF168" s="152" t="str">
        <f>IFERROR(SUMIFS(TME[[#All],[Total Non-Truncated Claims Spending]],TME[[#All],[Reporting Year]],2020,TME[[#All],[Insurance Category Code]],6,TME[[#All],[Large Provider Entity Code]],W168)/AE168,"NA")</f>
        <v>NA</v>
      </c>
      <c r="AG168" s="152" t="str">
        <f>IFERROR(SUMIFS(TME[[#All],[Total Truncated Claims Spending]],TME[[#All],[Reporting Year]],2020,TME[[#All],[Insurance Category Code]],6,TME[[#All],[Large Provider Entity Code]],W168)/AE168,"NA")</f>
        <v>NA</v>
      </c>
      <c r="AH168" s="152" t="str">
        <f>IFERROR(SUMIFS(TME[[#All],[Total Non-Claims Spending]],TME[[#All],[Reporting Year]],2020,TME[[#All],[Insurance Category Code]],6,TME[[#All],[Large Provider Entity Code]],W168)/AE168,"NA")</f>
        <v>NA</v>
      </c>
      <c r="AI168" s="152" t="str">
        <f>IFERROR(SUMIFS(TME[[#All],[Total Non-Truncated Claims and Non-Claims Spending]],TME[[#All],[Reporting Year]],2020,TME[[#All],[Insurance Category Code]],6,TME[[#All],[Large Provider Entity Code]],W168)/AE168,"NA")</f>
        <v>NA</v>
      </c>
      <c r="AJ168" s="152" t="str">
        <f>IFERROR(SUMIFS(TME[[#All],[Truncated Total Expenses (Total Truncated Claims Expenses + Non-Claims Expenses)]],TME[[#All],[Reporting Year]],2020,TME[[#All],[Insurance Category Code]],6,TME[[#All],[Large Provider Entity Code]],W168)/AE168,"NA")</f>
        <v>NA</v>
      </c>
      <c r="AK168" s="154" t="str">
        <f t="shared" si="273"/>
        <v>NA</v>
      </c>
      <c r="AL168" s="154" t="str">
        <f t="shared" si="274"/>
        <v>NA</v>
      </c>
      <c r="AM168" s="154" t="str">
        <f t="shared" si="275"/>
        <v>NA</v>
      </c>
      <c r="AN168" s="154" t="str">
        <f t="shared" si="276"/>
        <v>NA</v>
      </c>
      <c r="AO168" s="154" t="str">
        <f t="shared" si="277"/>
        <v>NA</v>
      </c>
      <c r="AP168" s="154" t="str">
        <f t="shared" si="278"/>
        <v>NA</v>
      </c>
      <c r="AR168" s="123">
        <v>109</v>
      </c>
      <c r="AS168" s="103" t="s">
        <v>253</v>
      </c>
      <c r="AT168" s="141">
        <f>SUMIFS(TME[[#All],[Member Months]],TME[[#All],[Reporting Year]],2020,TME[[#All],[Insurance Category Code]],6,TME[[#All],[Large Provider Entity Code]],AR168)</f>
        <v>0</v>
      </c>
      <c r="AU168" s="152" t="str">
        <f>IFERROR(SUMIFS(TME[[#All],[Total Non-Truncated Claims Spending]],TME[[#All],[Reporting Year]],2020,TME[[#All],[Insurance Category Code]],6,TME[[#All],[Large Provider Entity Code]],AR168)/AT168,"NA")</f>
        <v>NA</v>
      </c>
      <c r="AV168" s="152" t="str">
        <f>IFERROR(SUMIFS(TME[[#All],[Total Truncated Claims Spending]],TME[[#All],[Reporting Year]],2020,TME[[#All],[Insurance Category Code]],6,TME[[#All],[Large Provider Entity Code]],AR168)/AT168,"NA")</f>
        <v>NA</v>
      </c>
      <c r="AW168" s="152" t="str">
        <f>IFERROR(SUMIFS(TME[[#All],[Total Non-Claims Spending]],TME[[#All],[Reporting Year]],2020,TME[[#All],[Insurance Category Code]],6,TME[[#All],[Large Provider Entity Code]],AR168)/AT168,"NA")</f>
        <v>NA</v>
      </c>
      <c r="AX168" s="152" t="str">
        <f>IFERROR(SUMIFS(TME[[#All],[Total Non-Truncated Claims and Non-Claims Spending]],TME[[#All],[Reporting Year]],2020,TME[[#All],[Insurance Category Code]],6,TME[[#All],[Large Provider Entity Code]],AR168)/AT168,"NA")</f>
        <v>NA</v>
      </c>
      <c r="AY168" s="152" t="str">
        <f>IFERROR(SUMIFS(TME[[#All],[Truncated Total Expenses (Total Truncated Claims Expenses + Non-Claims Expenses)]],TME[[#All],[Reporting Year]],2020,TME[[#All],[Insurance Category Code]],6,TME[[#All],[Large Provider Entity Code]],AR168)/AT168,"NA")</f>
        <v>NA</v>
      </c>
      <c r="AZ168" s="141">
        <f>SUMIFS(TME[[#All],[Member Months]],TME[[#All],[Reporting Year]],2021,TME[[#All],[Insurance Category Code]],6,TME[[#All],[Large Provider Entity Code]],AR168)</f>
        <v>0</v>
      </c>
      <c r="BA168" s="152" t="str">
        <f>IFERROR(SUMIFS(TME[[#All],[Total Non-Truncated Claims Spending]],TME[[#All],[Reporting Year]],2021,TME[[#All],[Insurance Category Code]],6,TME[[#All],[Large Provider Entity Code]],AR168)/AZ168,"NA")</f>
        <v>NA</v>
      </c>
      <c r="BB168" s="152" t="str">
        <f>IFERROR(SUMIFS(TME[[#All],[Total Truncated Claims Spending]],TME[[#All],[Reporting Year]],2021,TME[[#All],[Insurance Category Code]],6,TME[[#All],[Large Provider Entity Code]],AR168)/AZ168,"NA")</f>
        <v>NA</v>
      </c>
      <c r="BC168" s="152" t="str">
        <f>IFERROR(SUMIFS(TME[[#All],[Total Non-Claims Spending]],TME[[#All],[Reporting Year]],2021,TME[[#All],[Insurance Category Code]],6,TME[[#All],[Large Provider Entity Code]],AR168)/AZ168,"NA")</f>
        <v>NA</v>
      </c>
      <c r="BD168" s="152" t="str">
        <f>IFERROR(SUMIFS(TME[[#All],[Total Non-Truncated Claims and Non-Claims Spending]],TME[[#All],[Reporting Year]],2021,TME[[#All],[Insurance Category Code]],6,TME[[#All],[Large Provider Entity Code]],AR168)/AZ168,"NA")</f>
        <v>NA</v>
      </c>
      <c r="BE168" s="152" t="str">
        <f>IFERROR(SUMIFS(TME[[#All],[Truncated Total Expenses (Total Truncated Claims Expenses + Non-Claims Expenses)]],TME[[#All],[Reporting Year]],2021,TME[[#All],[Insurance Category Code]],6,TME[[#All],[Large Provider Entity Code]],AR168)/AZ168,"NA")</f>
        <v>NA</v>
      </c>
      <c r="BF168" s="154" t="str">
        <f t="shared" si="279"/>
        <v>NA</v>
      </c>
      <c r="BG168" s="154" t="str">
        <f t="shared" si="280"/>
        <v>NA</v>
      </c>
      <c r="BH168" s="154" t="str">
        <f t="shared" si="281"/>
        <v>NA</v>
      </c>
      <c r="BI168" s="154" t="str">
        <f t="shared" si="282"/>
        <v>NA</v>
      </c>
      <c r="BJ168" s="154" t="str">
        <f t="shared" si="283"/>
        <v>NA</v>
      </c>
      <c r="BK168" s="154" t="str">
        <f t="shared" si="284"/>
        <v>NA</v>
      </c>
    </row>
    <row r="169" spans="2:63" x14ac:dyDescent="0.35">
      <c r="B169" s="123">
        <v>110</v>
      </c>
      <c r="C169" s="103" t="s">
        <v>294</v>
      </c>
      <c r="D169" s="141">
        <f>SUMIFS(TME[[#All],[Member Months]],TME[[#All],[Reporting Year]],2018,TME[[#All],[Insurance Category Code]],6,TME[[#All],[Large Provider Entity Code]],B169)</f>
        <v>0</v>
      </c>
      <c r="E169" s="152" t="str">
        <f>IFERROR(SUMIFS(TME[[#All],[Total Non-Truncated Claims Spending]],TME[[#All],[Reporting Year]],2018,TME[[#All],[Insurance Category Code]],6,TME[[#All],[Large Provider Entity Code]],B169)/D169,"NA")</f>
        <v>NA</v>
      </c>
      <c r="F169" s="152" t="str">
        <f>IFERROR(SUMIFS(TME[[#All],[Total Truncated Claims Spending]],TME[[#All],[Reporting Year]],2018,TME[[#All],[Insurance Category Code]],6,TME[[#All],[Large Provider Entity Code]],B169)/D169,"NA")</f>
        <v>NA</v>
      </c>
      <c r="G169" s="152" t="str">
        <f>IFERROR(SUMIFS(TME[[#All],[Total Non-Claims Spending]],TME[[#All],[Reporting Year]],2018,TME[[#All],[Insurance Category Code]],6,TME[[#All],[Large Provider Entity Code]],B169)/D169,"NA")</f>
        <v>NA</v>
      </c>
      <c r="H169" s="152" t="str">
        <f>IFERROR(SUMIFS(TME[[#All],[Total Non-Truncated Claims and Non-Claims Spending]],TME[[#All],[Reporting Year]],2018,TME[[#All],[Insurance Category Code]],6,TME[[#All],[Large Provider Entity Code]],B169)/D169,"NA")</f>
        <v>NA</v>
      </c>
      <c r="I169" s="152" t="str">
        <f>IFERROR(SUMIFS(TME[[#All],[Truncated Total Expenses (Total Truncated Claims Expenses + Non-Claims Expenses)]],TME[[#All],[Reporting Year]],2018,TME[[#All],[Insurance Category Code]],6,TME[[#All],[Large Provider Entity Code]],B169)/D169,"NA")</f>
        <v>NA</v>
      </c>
      <c r="J169" s="141">
        <f>SUMIFS(TME[[#All],[Member Months]],TME[[#All],[Reporting Year]],2019,TME[[#All],[Insurance Category Code]],6,TME[[#All],[Large Provider Entity Code]],B169)</f>
        <v>0</v>
      </c>
      <c r="K169" s="152" t="str">
        <f>IFERROR(SUMIFS(TME[[#All],[Total Non-Truncated Claims Spending]],TME[[#All],[Reporting Year]],2019,TME[[#All],[Insurance Category Code]],6,TME[[#All],[Large Provider Entity Code]],B169)/J169,"NA")</f>
        <v>NA</v>
      </c>
      <c r="L169" s="152" t="str">
        <f>IFERROR(SUMIFS(TME[[#All],[Total Truncated Claims Spending]],TME[[#All],[Reporting Year]],2019,TME[[#All],[Insurance Category Code]],6,TME[[#All],[Large Provider Entity Code]],B169)/J169,"NA")</f>
        <v>NA</v>
      </c>
      <c r="M169" s="152" t="str">
        <f>IFERROR(SUMIFS(TME[[#All],[Total Non-Claims Spending]],TME[[#All],[Reporting Year]],2019,TME[[#All],[Insurance Category Code]],6,TME[[#All],[Large Provider Entity Code]],B169)/J169,"NA")</f>
        <v>NA</v>
      </c>
      <c r="N169" s="152" t="str">
        <f>IFERROR(SUMIFS(TME[[#All],[Total Non-Truncated Claims and Non-Claims Spending]],TME[[#All],[Reporting Year]],2019,TME[[#All],[Insurance Category Code]],6,TME[[#All],[Large Provider Entity Code]],B169)/J169,"NA")</f>
        <v>NA</v>
      </c>
      <c r="O169" s="152" t="str">
        <f>IFERROR(SUMIFS(TME[[#All],[Truncated Total Expenses (Total Truncated Claims Expenses + Non-Claims Expenses)]],TME[[#All],[Reporting Year]],2019,TME[[#All],[Insurance Category Code]],6,TME[[#All],[Large Provider Entity Code]],B169)/J169,"NA")</f>
        <v>NA</v>
      </c>
      <c r="P169" s="154" t="str">
        <f t="shared" si="267"/>
        <v>NA</v>
      </c>
      <c r="Q169" s="154" t="str">
        <f t="shared" si="268"/>
        <v>NA</v>
      </c>
      <c r="R169" s="154" t="str">
        <f t="shared" si="269"/>
        <v>NA</v>
      </c>
      <c r="S169" s="154" t="str">
        <f t="shared" si="270"/>
        <v>NA</v>
      </c>
      <c r="T169" s="154" t="str">
        <f t="shared" si="271"/>
        <v>NA</v>
      </c>
      <c r="U169" s="154" t="str">
        <f t="shared" si="272"/>
        <v>NA</v>
      </c>
      <c r="W169" s="123">
        <v>110</v>
      </c>
      <c r="X169" s="103" t="s">
        <v>294</v>
      </c>
      <c r="Y169" s="141">
        <f>SUMIFS(TME[[#All],[Member Months]],TME[[#All],[Reporting Year]],2019,TME[[#All],[Insurance Category Code]],6,TME[[#All],[Large Provider Entity Code]],W169)</f>
        <v>0</v>
      </c>
      <c r="Z169" s="152" t="str">
        <f>IFERROR(SUMIFS(TME[[#All],[Total Non-Truncated Claims Spending]],TME[[#All],[Reporting Year]],2019,TME[[#All],[Insurance Category Code]],6,TME[[#All],[Large Provider Entity Code]],W169)/Y169,"NA")</f>
        <v>NA</v>
      </c>
      <c r="AA169" s="152" t="str">
        <f>IFERROR(SUMIFS(TME[[#All],[Total Truncated Claims Spending]],TME[[#All],[Reporting Year]],2019,TME[[#All],[Insurance Category Code]],6,TME[[#All],[Large Provider Entity Code]],W169)/Y169,"NA")</f>
        <v>NA</v>
      </c>
      <c r="AB169" s="152" t="str">
        <f>IFERROR(SUMIFS(TME[[#All],[Total Non-Claims Spending]],TME[[#All],[Reporting Year]],2019,TME[[#All],[Insurance Category Code]],6,TME[[#All],[Large Provider Entity Code]],W169)/Y169,"NA")</f>
        <v>NA</v>
      </c>
      <c r="AC169" s="152" t="str">
        <f>IFERROR(SUMIFS(TME[[#All],[Total Non-Truncated Claims and Non-Claims Spending]],TME[[#All],[Reporting Year]],2019,TME[[#All],[Insurance Category Code]],6,TME[[#All],[Large Provider Entity Code]],W169)/Y169,"NA")</f>
        <v>NA</v>
      </c>
      <c r="AD169" s="152" t="str">
        <f>IFERROR(SUMIFS(TME[[#All],[Truncated Total Expenses (Total Truncated Claims Expenses + Non-Claims Expenses)]],TME[[#All],[Reporting Year]],2019,TME[[#All],[Insurance Category Code]],6,TME[[#All],[Large Provider Entity Code]],W169)/Y169,"NA")</f>
        <v>NA</v>
      </c>
      <c r="AE169" s="141">
        <f>SUMIFS(TME[[#All],[Member Months]],TME[[#All],[Reporting Year]],2020,TME[[#All],[Insurance Category Code]],6,TME[[#All],[Large Provider Entity Code]],W169)</f>
        <v>0</v>
      </c>
      <c r="AF169" s="152" t="str">
        <f>IFERROR(SUMIFS(TME[[#All],[Total Non-Truncated Claims Spending]],TME[[#All],[Reporting Year]],2020,TME[[#All],[Insurance Category Code]],6,TME[[#All],[Large Provider Entity Code]],W169)/AE169,"NA")</f>
        <v>NA</v>
      </c>
      <c r="AG169" s="152" t="str">
        <f>IFERROR(SUMIFS(TME[[#All],[Total Truncated Claims Spending]],TME[[#All],[Reporting Year]],2020,TME[[#All],[Insurance Category Code]],6,TME[[#All],[Large Provider Entity Code]],W169)/AE169,"NA")</f>
        <v>NA</v>
      </c>
      <c r="AH169" s="152" t="str">
        <f>IFERROR(SUMIFS(TME[[#All],[Total Non-Claims Spending]],TME[[#All],[Reporting Year]],2020,TME[[#All],[Insurance Category Code]],6,TME[[#All],[Large Provider Entity Code]],W169)/AE169,"NA")</f>
        <v>NA</v>
      </c>
      <c r="AI169" s="152" t="str">
        <f>IFERROR(SUMIFS(TME[[#All],[Total Non-Truncated Claims and Non-Claims Spending]],TME[[#All],[Reporting Year]],2020,TME[[#All],[Insurance Category Code]],6,TME[[#All],[Large Provider Entity Code]],W169)/AE169,"NA")</f>
        <v>NA</v>
      </c>
      <c r="AJ169" s="152" t="str">
        <f>IFERROR(SUMIFS(TME[[#All],[Truncated Total Expenses (Total Truncated Claims Expenses + Non-Claims Expenses)]],TME[[#All],[Reporting Year]],2020,TME[[#All],[Insurance Category Code]],6,TME[[#All],[Large Provider Entity Code]],W169)/AE169,"NA")</f>
        <v>NA</v>
      </c>
      <c r="AK169" s="154" t="str">
        <f t="shared" si="273"/>
        <v>NA</v>
      </c>
      <c r="AL169" s="154" t="str">
        <f t="shared" si="274"/>
        <v>NA</v>
      </c>
      <c r="AM169" s="154" t="str">
        <f t="shared" si="275"/>
        <v>NA</v>
      </c>
      <c r="AN169" s="154" t="str">
        <f t="shared" si="276"/>
        <v>NA</v>
      </c>
      <c r="AO169" s="154" t="str">
        <f t="shared" si="277"/>
        <v>NA</v>
      </c>
      <c r="AP169" s="154" t="str">
        <f t="shared" si="278"/>
        <v>NA</v>
      </c>
      <c r="AR169" s="123">
        <v>110</v>
      </c>
      <c r="AS169" s="103" t="s">
        <v>294</v>
      </c>
      <c r="AT169" s="141">
        <f>SUMIFS(TME[[#All],[Member Months]],TME[[#All],[Reporting Year]],2020,TME[[#All],[Insurance Category Code]],6,TME[[#All],[Large Provider Entity Code]],AR169)</f>
        <v>0</v>
      </c>
      <c r="AU169" s="152" t="str">
        <f>IFERROR(SUMIFS(TME[[#All],[Total Non-Truncated Claims Spending]],TME[[#All],[Reporting Year]],2020,TME[[#All],[Insurance Category Code]],6,TME[[#All],[Large Provider Entity Code]],AR169)/AT169,"NA")</f>
        <v>NA</v>
      </c>
      <c r="AV169" s="152" t="str">
        <f>IFERROR(SUMIFS(TME[[#All],[Total Truncated Claims Spending]],TME[[#All],[Reporting Year]],2020,TME[[#All],[Insurance Category Code]],6,TME[[#All],[Large Provider Entity Code]],AR169)/AT169,"NA")</f>
        <v>NA</v>
      </c>
      <c r="AW169" s="152" t="str">
        <f>IFERROR(SUMIFS(TME[[#All],[Total Non-Claims Spending]],TME[[#All],[Reporting Year]],2020,TME[[#All],[Insurance Category Code]],6,TME[[#All],[Large Provider Entity Code]],AR169)/AT169,"NA")</f>
        <v>NA</v>
      </c>
      <c r="AX169" s="152" t="str">
        <f>IFERROR(SUMIFS(TME[[#All],[Total Non-Truncated Claims and Non-Claims Spending]],TME[[#All],[Reporting Year]],2020,TME[[#All],[Insurance Category Code]],6,TME[[#All],[Large Provider Entity Code]],AR169)/AT169,"NA")</f>
        <v>NA</v>
      </c>
      <c r="AY169" s="152" t="str">
        <f>IFERROR(SUMIFS(TME[[#All],[Truncated Total Expenses (Total Truncated Claims Expenses + Non-Claims Expenses)]],TME[[#All],[Reporting Year]],2020,TME[[#All],[Insurance Category Code]],6,TME[[#All],[Large Provider Entity Code]],AR169)/AT169,"NA")</f>
        <v>NA</v>
      </c>
      <c r="AZ169" s="141">
        <f>SUMIFS(TME[[#All],[Member Months]],TME[[#All],[Reporting Year]],2021,TME[[#All],[Insurance Category Code]],6,TME[[#All],[Large Provider Entity Code]],AR169)</f>
        <v>0</v>
      </c>
      <c r="BA169" s="152" t="str">
        <f>IFERROR(SUMIFS(TME[[#All],[Total Non-Truncated Claims Spending]],TME[[#All],[Reporting Year]],2021,TME[[#All],[Insurance Category Code]],6,TME[[#All],[Large Provider Entity Code]],AR169)/AZ169,"NA")</f>
        <v>NA</v>
      </c>
      <c r="BB169" s="152" t="str">
        <f>IFERROR(SUMIFS(TME[[#All],[Total Truncated Claims Spending]],TME[[#All],[Reporting Year]],2021,TME[[#All],[Insurance Category Code]],6,TME[[#All],[Large Provider Entity Code]],AR169)/AZ169,"NA")</f>
        <v>NA</v>
      </c>
      <c r="BC169" s="152" t="str">
        <f>IFERROR(SUMIFS(TME[[#All],[Total Non-Claims Spending]],TME[[#All],[Reporting Year]],2021,TME[[#All],[Insurance Category Code]],6,TME[[#All],[Large Provider Entity Code]],AR169)/AZ169,"NA")</f>
        <v>NA</v>
      </c>
      <c r="BD169" s="152" t="str">
        <f>IFERROR(SUMIFS(TME[[#All],[Total Non-Truncated Claims and Non-Claims Spending]],TME[[#All],[Reporting Year]],2021,TME[[#All],[Insurance Category Code]],6,TME[[#All],[Large Provider Entity Code]],AR169)/AZ169,"NA")</f>
        <v>NA</v>
      </c>
      <c r="BE169" s="152" t="str">
        <f>IFERROR(SUMIFS(TME[[#All],[Truncated Total Expenses (Total Truncated Claims Expenses + Non-Claims Expenses)]],TME[[#All],[Reporting Year]],2021,TME[[#All],[Insurance Category Code]],6,TME[[#All],[Large Provider Entity Code]],AR169)/AZ169,"NA")</f>
        <v>NA</v>
      </c>
      <c r="BF169" s="154" t="str">
        <f t="shared" si="279"/>
        <v>NA</v>
      </c>
      <c r="BG169" s="154" t="str">
        <f t="shared" si="280"/>
        <v>NA</v>
      </c>
      <c r="BH169" s="154" t="str">
        <f t="shared" si="281"/>
        <v>NA</v>
      </c>
      <c r="BI169" s="154" t="str">
        <f t="shared" si="282"/>
        <v>NA</v>
      </c>
      <c r="BJ169" s="154" t="str">
        <f t="shared" si="283"/>
        <v>NA</v>
      </c>
      <c r="BK169" s="154" t="str">
        <f t="shared" si="284"/>
        <v>NA</v>
      </c>
    </row>
    <row r="170" spans="2:63" x14ac:dyDescent="0.35">
      <c r="B170" s="123">
        <v>111</v>
      </c>
      <c r="C170" s="103" t="s">
        <v>254</v>
      </c>
      <c r="D170" s="141">
        <f>SUMIFS(TME[[#All],[Member Months]],TME[[#All],[Reporting Year]],2018,TME[[#All],[Insurance Category Code]],6,TME[[#All],[Large Provider Entity Code]],B170)</f>
        <v>0</v>
      </c>
      <c r="E170" s="152" t="str">
        <f>IFERROR(SUMIFS(TME[[#All],[Total Non-Truncated Claims Spending]],TME[[#All],[Reporting Year]],2018,TME[[#All],[Insurance Category Code]],6,TME[[#All],[Large Provider Entity Code]],B170)/D170,"NA")</f>
        <v>NA</v>
      </c>
      <c r="F170" s="152" t="str">
        <f>IFERROR(SUMIFS(TME[[#All],[Total Truncated Claims Spending]],TME[[#All],[Reporting Year]],2018,TME[[#All],[Insurance Category Code]],6,TME[[#All],[Large Provider Entity Code]],B170)/D170,"NA")</f>
        <v>NA</v>
      </c>
      <c r="G170" s="152" t="str">
        <f>IFERROR(SUMIFS(TME[[#All],[Total Non-Claims Spending]],TME[[#All],[Reporting Year]],2018,TME[[#All],[Insurance Category Code]],6,TME[[#All],[Large Provider Entity Code]],B170)/D170,"NA")</f>
        <v>NA</v>
      </c>
      <c r="H170" s="152" t="str">
        <f>IFERROR(SUMIFS(TME[[#All],[Total Non-Truncated Claims and Non-Claims Spending]],TME[[#All],[Reporting Year]],2018,TME[[#All],[Insurance Category Code]],6,TME[[#All],[Large Provider Entity Code]],B170)/D170,"NA")</f>
        <v>NA</v>
      </c>
      <c r="I170" s="152" t="str">
        <f>IFERROR(SUMIFS(TME[[#All],[Truncated Total Expenses (Total Truncated Claims Expenses + Non-Claims Expenses)]],TME[[#All],[Reporting Year]],2018,TME[[#All],[Insurance Category Code]],6,TME[[#All],[Large Provider Entity Code]],B170)/D170,"NA")</f>
        <v>NA</v>
      </c>
      <c r="J170" s="141">
        <f>SUMIFS(TME[[#All],[Member Months]],TME[[#All],[Reporting Year]],2019,TME[[#All],[Insurance Category Code]],6,TME[[#All],[Large Provider Entity Code]],B170)</f>
        <v>0</v>
      </c>
      <c r="K170" s="152" t="str">
        <f>IFERROR(SUMIFS(TME[[#All],[Total Non-Truncated Claims Spending]],TME[[#All],[Reporting Year]],2019,TME[[#All],[Insurance Category Code]],6,TME[[#All],[Large Provider Entity Code]],B170)/J170,"NA")</f>
        <v>NA</v>
      </c>
      <c r="L170" s="152" t="str">
        <f>IFERROR(SUMIFS(TME[[#All],[Total Truncated Claims Spending]],TME[[#All],[Reporting Year]],2019,TME[[#All],[Insurance Category Code]],6,TME[[#All],[Large Provider Entity Code]],B170)/J170,"NA")</f>
        <v>NA</v>
      </c>
      <c r="M170" s="152" t="str">
        <f>IFERROR(SUMIFS(TME[[#All],[Total Non-Claims Spending]],TME[[#All],[Reporting Year]],2019,TME[[#All],[Insurance Category Code]],6,TME[[#All],[Large Provider Entity Code]],B170)/J170,"NA")</f>
        <v>NA</v>
      </c>
      <c r="N170" s="152" t="str">
        <f>IFERROR(SUMIFS(TME[[#All],[Total Non-Truncated Claims and Non-Claims Spending]],TME[[#All],[Reporting Year]],2019,TME[[#All],[Insurance Category Code]],6,TME[[#All],[Large Provider Entity Code]],B170)/J170,"NA")</f>
        <v>NA</v>
      </c>
      <c r="O170" s="152" t="str">
        <f>IFERROR(SUMIFS(TME[[#All],[Truncated Total Expenses (Total Truncated Claims Expenses + Non-Claims Expenses)]],TME[[#All],[Reporting Year]],2019,TME[[#All],[Insurance Category Code]],6,TME[[#All],[Large Provider Entity Code]],B170)/J170,"NA")</f>
        <v>NA</v>
      </c>
      <c r="P170" s="154" t="str">
        <f t="shared" si="267"/>
        <v>NA</v>
      </c>
      <c r="Q170" s="154" t="str">
        <f t="shared" si="268"/>
        <v>NA</v>
      </c>
      <c r="R170" s="154" t="str">
        <f t="shared" si="269"/>
        <v>NA</v>
      </c>
      <c r="S170" s="154" t="str">
        <f t="shared" si="270"/>
        <v>NA</v>
      </c>
      <c r="T170" s="154" t="str">
        <f t="shared" si="271"/>
        <v>NA</v>
      </c>
      <c r="U170" s="154" t="str">
        <f t="shared" si="272"/>
        <v>NA</v>
      </c>
      <c r="W170" s="123">
        <v>111</v>
      </c>
      <c r="X170" s="103" t="s">
        <v>254</v>
      </c>
      <c r="Y170" s="141">
        <f>SUMIFS(TME[[#All],[Member Months]],TME[[#All],[Reporting Year]],2019,TME[[#All],[Insurance Category Code]],6,TME[[#All],[Large Provider Entity Code]],W170)</f>
        <v>0</v>
      </c>
      <c r="Z170" s="152" t="str">
        <f>IFERROR(SUMIFS(TME[[#All],[Total Non-Truncated Claims Spending]],TME[[#All],[Reporting Year]],2019,TME[[#All],[Insurance Category Code]],6,TME[[#All],[Large Provider Entity Code]],W170)/Y170,"NA")</f>
        <v>NA</v>
      </c>
      <c r="AA170" s="152" t="str">
        <f>IFERROR(SUMIFS(TME[[#All],[Total Truncated Claims Spending]],TME[[#All],[Reporting Year]],2019,TME[[#All],[Insurance Category Code]],6,TME[[#All],[Large Provider Entity Code]],W170)/Y170,"NA")</f>
        <v>NA</v>
      </c>
      <c r="AB170" s="152" t="str">
        <f>IFERROR(SUMIFS(TME[[#All],[Total Non-Claims Spending]],TME[[#All],[Reporting Year]],2019,TME[[#All],[Insurance Category Code]],6,TME[[#All],[Large Provider Entity Code]],W170)/Y170,"NA")</f>
        <v>NA</v>
      </c>
      <c r="AC170" s="152" t="str">
        <f>IFERROR(SUMIFS(TME[[#All],[Total Non-Truncated Claims and Non-Claims Spending]],TME[[#All],[Reporting Year]],2019,TME[[#All],[Insurance Category Code]],6,TME[[#All],[Large Provider Entity Code]],W170)/Y170,"NA")</f>
        <v>NA</v>
      </c>
      <c r="AD170" s="152" t="str">
        <f>IFERROR(SUMIFS(TME[[#All],[Truncated Total Expenses (Total Truncated Claims Expenses + Non-Claims Expenses)]],TME[[#All],[Reporting Year]],2019,TME[[#All],[Insurance Category Code]],6,TME[[#All],[Large Provider Entity Code]],W170)/Y170,"NA")</f>
        <v>NA</v>
      </c>
      <c r="AE170" s="141">
        <f>SUMIFS(TME[[#All],[Member Months]],TME[[#All],[Reporting Year]],2020,TME[[#All],[Insurance Category Code]],6,TME[[#All],[Large Provider Entity Code]],W170)</f>
        <v>0</v>
      </c>
      <c r="AF170" s="152" t="str">
        <f>IFERROR(SUMIFS(TME[[#All],[Total Non-Truncated Claims Spending]],TME[[#All],[Reporting Year]],2020,TME[[#All],[Insurance Category Code]],6,TME[[#All],[Large Provider Entity Code]],W170)/AE170,"NA")</f>
        <v>NA</v>
      </c>
      <c r="AG170" s="152" t="str">
        <f>IFERROR(SUMIFS(TME[[#All],[Total Truncated Claims Spending]],TME[[#All],[Reporting Year]],2020,TME[[#All],[Insurance Category Code]],6,TME[[#All],[Large Provider Entity Code]],W170)/AE170,"NA")</f>
        <v>NA</v>
      </c>
      <c r="AH170" s="152" t="str">
        <f>IFERROR(SUMIFS(TME[[#All],[Total Non-Claims Spending]],TME[[#All],[Reporting Year]],2020,TME[[#All],[Insurance Category Code]],6,TME[[#All],[Large Provider Entity Code]],W170)/AE170,"NA")</f>
        <v>NA</v>
      </c>
      <c r="AI170" s="152" t="str">
        <f>IFERROR(SUMIFS(TME[[#All],[Total Non-Truncated Claims and Non-Claims Spending]],TME[[#All],[Reporting Year]],2020,TME[[#All],[Insurance Category Code]],6,TME[[#All],[Large Provider Entity Code]],W170)/AE170,"NA")</f>
        <v>NA</v>
      </c>
      <c r="AJ170" s="152" t="str">
        <f>IFERROR(SUMIFS(TME[[#All],[Truncated Total Expenses (Total Truncated Claims Expenses + Non-Claims Expenses)]],TME[[#All],[Reporting Year]],2020,TME[[#All],[Insurance Category Code]],6,TME[[#All],[Large Provider Entity Code]],W170)/AE170,"NA")</f>
        <v>NA</v>
      </c>
      <c r="AK170" s="154" t="str">
        <f t="shared" si="273"/>
        <v>NA</v>
      </c>
      <c r="AL170" s="154" t="str">
        <f t="shared" si="274"/>
        <v>NA</v>
      </c>
      <c r="AM170" s="154" t="str">
        <f t="shared" si="275"/>
        <v>NA</v>
      </c>
      <c r="AN170" s="154" t="str">
        <f t="shared" si="276"/>
        <v>NA</v>
      </c>
      <c r="AO170" s="154" t="str">
        <f t="shared" si="277"/>
        <v>NA</v>
      </c>
      <c r="AP170" s="154" t="str">
        <f t="shared" si="278"/>
        <v>NA</v>
      </c>
      <c r="AR170" s="123">
        <v>111</v>
      </c>
      <c r="AS170" s="103" t="s">
        <v>254</v>
      </c>
      <c r="AT170" s="141">
        <f>SUMIFS(TME[[#All],[Member Months]],TME[[#All],[Reporting Year]],2020,TME[[#All],[Insurance Category Code]],6,TME[[#All],[Large Provider Entity Code]],AR170)</f>
        <v>0</v>
      </c>
      <c r="AU170" s="152" t="str">
        <f>IFERROR(SUMIFS(TME[[#All],[Total Non-Truncated Claims Spending]],TME[[#All],[Reporting Year]],2020,TME[[#All],[Insurance Category Code]],6,TME[[#All],[Large Provider Entity Code]],AR170)/AT170,"NA")</f>
        <v>NA</v>
      </c>
      <c r="AV170" s="152" t="str">
        <f>IFERROR(SUMIFS(TME[[#All],[Total Truncated Claims Spending]],TME[[#All],[Reporting Year]],2020,TME[[#All],[Insurance Category Code]],6,TME[[#All],[Large Provider Entity Code]],AR170)/AT170,"NA")</f>
        <v>NA</v>
      </c>
      <c r="AW170" s="152" t="str">
        <f>IFERROR(SUMIFS(TME[[#All],[Total Non-Claims Spending]],TME[[#All],[Reporting Year]],2020,TME[[#All],[Insurance Category Code]],6,TME[[#All],[Large Provider Entity Code]],AR170)/AT170,"NA")</f>
        <v>NA</v>
      </c>
      <c r="AX170" s="152" t="str">
        <f>IFERROR(SUMIFS(TME[[#All],[Total Non-Truncated Claims and Non-Claims Spending]],TME[[#All],[Reporting Year]],2020,TME[[#All],[Insurance Category Code]],6,TME[[#All],[Large Provider Entity Code]],AR170)/AT170,"NA")</f>
        <v>NA</v>
      </c>
      <c r="AY170" s="152" t="str">
        <f>IFERROR(SUMIFS(TME[[#All],[Truncated Total Expenses (Total Truncated Claims Expenses + Non-Claims Expenses)]],TME[[#All],[Reporting Year]],2020,TME[[#All],[Insurance Category Code]],6,TME[[#All],[Large Provider Entity Code]],AR170)/AT170,"NA")</f>
        <v>NA</v>
      </c>
      <c r="AZ170" s="141">
        <f>SUMIFS(TME[[#All],[Member Months]],TME[[#All],[Reporting Year]],2021,TME[[#All],[Insurance Category Code]],6,TME[[#All],[Large Provider Entity Code]],AR170)</f>
        <v>0</v>
      </c>
      <c r="BA170" s="152" t="str">
        <f>IFERROR(SUMIFS(TME[[#All],[Total Non-Truncated Claims Spending]],TME[[#All],[Reporting Year]],2021,TME[[#All],[Insurance Category Code]],6,TME[[#All],[Large Provider Entity Code]],AR170)/AZ170,"NA")</f>
        <v>NA</v>
      </c>
      <c r="BB170" s="152" t="str">
        <f>IFERROR(SUMIFS(TME[[#All],[Total Truncated Claims Spending]],TME[[#All],[Reporting Year]],2021,TME[[#All],[Insurance Category Code]],6,TME[[#All],[Large Provider Entity Code]],AR170)/AZ170,"NA")</f>
        <v>NA</v>
      </c>
      <c r="BC170" s="152" t="str">
        <f>IFERROR(SUMIFS(TME[[#All],[Total Non-Claims Spending]],TME[[#All],[Reporting Year]],2021,TME[[#All],[Insurance Category Code]],6,TME[[#All],[Large Provider Entity Code]],AR170)/AZ170,"NA")</f>
        <v>NA</v>
      </c>
      <c r="BD170" s="152" t="str">
        <f>IFERROR(SUMIFS(TME[[#All],[Total Non-Truncated Claims and Non-Claims Spending]],TME[[#All],[Reporting Year]],2021,TME[[#All],[Insurance Category Code]],6,TME[[#All],[Large Provider Entity Code]],AR170)/AZ170,"NA")</f>
        <v>NA</v>
      </c>
      <c r="BE170" s="152" t="str">
        <f>IFERROR(SUMIFS(TME[[#All],[Truncated Total Expenses (Total Truncated Claims Expenses + Non-Claims Expenses)]],TME[[#All],[Reporting Year]],2021,TME[[#All],[Insurance Category Code]],6,TME[[#All],[Large Provider Entity Code]],AR170)/AZ170,"NA")</f>
        <v>NA</v>
      </c>
      <c r="BF170" s="154" t="str">
        <f t="shared" si="279"/>
        <v>NA</v>
      </c>
      <c r="BG170" s="154" t="str">
        <f t="shared" si="280"/>
        <v>NA</v>
      </c>
      <c r="BH170" s="154" t="str">
        <f t="shared" si="281"/>
        <v>NA</v>
      </c>
      <c r="BI170" s="154" t="str">
        <f t="shared" si="282"/>
        <v>NA</v>
      </c>
      <c r="BJ170" s="154" t="str">
        <f t="shared" si="283"/>
        <v>NA</v>
      </c>
      <c r="BK170" s="154" t="str">
        <f t="shared" si="284"/>
        <v>NA</v>
      </c>
    </row>
    <row r="171" spans="2:63" x14ac:dyDescent="0.35">
      <c r="B171" s="123">
        <v>999</v>
      </c>
      <c r="C171" s="103" t="s">
        <v>42</v>
      </c>
      <c r="D171" s="141">
        <f>SUMIFS(TME[[#All],[Member Months]],TME[[#All],[Reporting Year]],2018,TME[[#All],[Insurance Category Code]],6,TME[[#All],[Large Provider Entity Code]],B171)</f>
        <v>0</v>
      </c>
      <c r="E171" s="152" t="str">
        <f>IFERROR(SUMIFS(TME[[#All],[Total Non-Truncated Claims Spending]],TME[[#All],[Reporting Year]],2018,TME[[#All],[Insurance Category Code]],6,TME[[#All],[Large Provider Entity Code]],B171)/D171,"NA")</f>
        <v>NA</v>
      </c>
      <c r="F171" s="152" t="str">
        <f>IFERROR(SUMIFS(TME[[#All],[Total Truncated Claims Spending]],TME[[#All],[Reporting Year]],2018,TME[[#All],[Insurance Category Code]],6,TME[[#All],[Large Provider Entity Code]],B171)/D171,"NA")</f>
        <v>NA</v>
      </c>
      <c r="G171" s="152" t="str">
        <f>IFERROR(SUMIFS(TME[[#All],[Total Non-Claims Spending]],TME[[#All],[Reporting Year]],2018,TME[[#All],[Insurance Category Code]],6,TME[[#All],[Large Provider Entity Code]],B171)/D171,"NA")</f>
        <v>NA</v>
      </c>
      <c r="H171" s="152" t="str">
        <f>IFERROR(SUMIFS(TME[[#All],[Total Non-Truncated Claims and Non-Claims Spending]],TME[[#All],[Reporting Year]],2018,TME[[#All],[Insurance Category Code]],6,TME[[#All],[Large Provider Entity Code]],B171)/D171,"NA")</f>
        <v>NA</v>
      </c>
      <c r="I171" s="152" t="str">
        <f>IFERROR(SUMIFS(TME[[#All],[Truncated Total Expenses (Total Truncated Claims Expenses + Non-Claims Expenses)]],TME[[#All],[Reporting Year]],2018,TME[[#All],[Insurance Category Code]],6,TME[[#All],[Large Provider Entity Code]],B171)/D171,"NA")</f>
        <v>NA</v>
      </c>
      <c r="J171" s="141">
        <f>SUMIFS(TME[[#All],[Member Months]],TME[[#All],[Reporting Year]],2019,TME[[#All],[Insurance Category Code]],6,TME[[#All],[Large Provider Entity Code]],B171)</f>
        <v>0</v>
      </c>
      <c r="K171" s="152" t="str">
        <f>IFERROR(SUMIFS(TME[[#All],[Total Non-Truncated Claims Spending]],TME[[#All],[Reporting Year]],2019,TME[[#All],[Insurance Category Code]],6,TME[[#All],[Large Provider Entity Code]],B171)/J171,"NA")</f>
        <v>NA</v>
      </c>
      <c r="L171" s="152" t="str">
        <f>IFERROR(SUMIFS(TME[[#All],[Total Truncated Claims Spending]],TME[[#All],[Reporting Year]],2019,TME[[#All],[Insurance Category Code]],6,TME[[#All],[Large Provider Entity Code]],B171)/J171,"NA")</f>
        <v>NA</v>
      </c>
      <c r="M171" s="152" t="str">
        <f>IFERROR(SUMIFS(TME[[#All],[Total Non-Claims Spending]],TME[[#All],[Reporting Year]],2019,TME[[#All],[Insurance Category Code]],6,TME[[#All],[Large Provider Entity Code]],B171)/J171,"NA")</f>
        <v>NA</v>
      </c>
      <c r="N171" s="152" t="str">
        <f>IFERROR(SUMIFS(TME[[#All],[Total Non-Truncated Claims and Non-Claims Spending]],TME[[#All],[Reporting Year]],2019,TME[[#All],[Insurance Category Code]],6,TME[[#All],[Large Provider Entity Code]],B171)/J171,"NA")</f>
        <v>NA</v>
      </c>
      <c r="O171" s="152" t="str">
        <f>IFERROR(SUMIFS(TME[[#All],[Truncated Total Expenses (Total Truncated Claims Expenses + Non-Claims Expenses)]],TME[[#All],[Reporting Year]],2019,TME[[#All],[Insurance Category Code]],6,TME[[#All],[Large Provider Entity Code]],B171)/J171,"NA")</f>
        <v>NA</v>
      </c>
      <c r="P171" s="154" t="str">
        <f t="shared" si="267"/>
        <v>NA</v>
      </c>
      <c r="Q171" s="154" t="str">
        <f t="shared" si="268"/>
        <v>NA</v>
      </c>
      <c r="R171" s="154" t="str">
        <f t="shared" si="269"/>
        <v>NA</v>
      </c>
      <c r="S171" s="154" t="str">
        <f t="shared" si="270"/>
        <v>NA</v>
      </c>
      <c r="T171" s="154" t="str">
        <f t="shared" si="271"/>
        <v>NA</v>
      </c>
      <c r="U171" s="154" t="str">
        <f t="shared" si="272"/>
        <v>NA</v>
      </c>
      <c r="W171" s="123">
        <v>999</v>
      </c>
      <c r="X171" s="103" t="s">
        <v>42</v>
      </c>
      <c r="Y171" s="141">
        <f>SUMIFS(TME[[#All],[Member Months]],TME[[#All],[Reporting Year]],2019,TME[[#All],[Insurance Category Code]],6,TME[[#All],[Large Provider Entity Code]],W171)</f>
        <v>0</v>
      </c>
      <c r="Z171" s="152" t="str">
        <f>IFERROR(SUMIFS(TME[[#All],[Total Non-Truncated Claims Spending]],TME[[#All],[Reporting Year]],2019,TME[[#All],[Insurance Category Code]],6,TME[[#All],[Large Provider Entity Code]],W171)/Y171,"NA")</f>
        <v>NA</v>
      </c>
      <c r="AA171" s="152" t="str">
        <f>IFERROR(SUMIFS(TME[[#All],[Total Truncated Claims Spending]],TME[[#All],[Reporting Year]],2019,TME[[#All],[Insurance Category Code]],6,TME[[#All],[Large Provider Entity Code]],W171)/Y171,"NA")</f>
        <v>NA</v>
      </c>
      <c r="AB171" s="152" t="str">
        <f>IFERROR(SUMIFS(TME[[#All],[Total Non-Claims Spending]],TME[[#All],[Reporting Year]],2019,TME[[#All],[Insurance Category Code]],6,TME[[#All],[Large Provider Entity Code]],W171)/Y171,"NA")</f>
        <v>NA</v>
      </c>
      <c r="AC171" s="152" t="str">
        <f>IFERROR(SUMIFS(TME[[#All],[Total Non-Truncated Claims and Non-Claims Spending]],TME[[#All],[Reporting Year]],2019,TME[[#All],[Insurance Category Code]],6,TME[[#All],[Large Provider Entity Code]],W171)/Y171,"NA")</f>
        <v>NA</v>
      </c>
      <c r="AD171" s="152" t="str">
        <f>IFERROR(SUMIFS(TME[[#All],[Truncated Total Expenses (Total Truncated Claims Expenses + Non-Claims Expenses)]],TME[[#All],[Reporting Year]],2019,TME[[#All],[Insurance Category Code]],6,TME[[#All],[Large Provider Entity Code]],W171)/Y171,"NA")</f>
        <v>NA</v>
      </c>
      <c r="AE171" s="141">
        <f>SUMIFS(TME[[#All],[Member Months]],TME[[#All],[Reporting Year]],2020,TME[[#All],[Insurance Category Code]],6,TME[[#All],[Large Provider Entity Code]],W171)</f>
        <v>0</v>
      </c>
      <c r="AF171" s="152" t="str">
        <f>IFERROR(SUMIFS(TME[[#All],[Total Non-Truncated Claims Spending]],TME[[#All],[Reporting Year]],2020,TME[[#All],[Insurance Category Code]],6,TME[[#All],[Large Provider Entity Code]],W171)/AE171,"NA")</f>
        <v>NA</v>
      </c>
      <c r="AG171" s="152" t="str">
        <f>IFERROR(SUMIFS(TME[[#All],[Total Truncated Claims Spending]],TME[[#All],[Reporting Year]],2020,TME[[#All],[Insurance Category Code]],6,TME[[#All],[Large Provider Entity Code]],W171)/AE171,"NA")</f>
        <v>NA</v>
      </c>
      <c r="AH171" s="152" t="str">
        <f>IFERROR(SUMIFS(TME[[#All],[Total Non-Claims Spending]],TME[[#All],[Reporting Year]],2020,TME[[#All],[Insurance Category Code]],6,TME[[#All],[Large Provider Entity Code]],W171)/AE171,"NA")</f>
        <v>NA</v>
      </c>
      <c r="AI171" s="152" t="str">
        <f>IFERROR(SUMIFS(TME[[#All],[Total Non-Truncated Claims and Non-Claims Spending]],TME[[#All],[Reporting Year]],2020,TME[[#All],[Insurance Category Code]],6,TME[[#All],[Large Provider Entity Code]],W171)/AE171,"NA")</f>
        <v>NA</v>
      </c>
      <c r="AJ171" s="152" t="str">
        <f>IFERROR(SUMIFS(TME[[#All],[Truncated Total Expenses (Total Truncated Claims Expenses + Non-Claims Expenses)]],TME[[#All],[Reporting Year]],2020,TME[[#All],[Insurance Category Code]],6,TME[[#All],[Large Provider Entity Code]],W171)/AE171,"NA")</f>
        <v>NA</v>
      </c>
      <c r="AK171" s="154" t="str">
        <f t="shared" si="273"/>
        <v>NA</v>
      </c>
      <c r="AL171" s="154" t="str">
        <f t="shared" si="274"/>
        <v>NA</v>
      </c>
      <c r="AM171" s="154" t="str">
        <f t="shared" si="275"/>
        <v>NA</v>
      </c>
      <c r="AN171" s="154" t="str">
        <f t="shared" si="276"/>
        <v>NA</v>
      </c>
      <c r="AO171" s="154" t="str">
        <f t="shared" si="277"/>
        <v>NA</v>
      </c>
      <c r="AP171" s="154" t="str">
        <f t="shared" si="278"/>
        <v>NA</v>
      </c>
      <c r="AR171" s="123">
        <v>999</v>
      </c>
      <c r="AS171" s="103" t="s">
        <v>42</v>
      </c>
      <c r="AT171" s="141">
        <f>SUMIFS(TME[[#All],[Member Months]],TME[[#All],[Reporting Year]],2020,TME[[#All],[Insurance Category Code]],6,TME[[#All],[Large Provider Entity Code]],AR171)</f>
        <v>0</v>
      </c>
      <c r="AU171" s="152" t="str">
        <f>IFERROR(SUMIFS(TME[[#All],[Total Non-Truncated Claims Spending]],TME[[#All],[Reporting Year]],2020,TME[[#All],[Insurance Category Code]],6,TME[[#All],[Large Provider Entity Code]],AR171)/AT171,"NA")</f>
        <v>NA</v>
      </c>
      <c r="AV171" s="152" t="str">
        <f>IFERROR(SUMIFS(TME[[#All],[Total Truncated Claims Spending]],TME[[#All],[Reporting Year]],2020,TME[[#All],[Insurance Category Code]],6,TME[[#All],[Large Provider Entity Code]],AR171)/AT171,"NA")</f>
        <v>NA</v>
      </c>
      <c r="AW171" s="152" t="str">
        <f>IFERROR(SUMIFS(TME[[#All],[Total Non-Claims Spending]],TME[[#All],[Reporting Year]],2020,TME[[#All],[Insurance Category Code]],6,TME[[#All],[Large Provider Entity Code]],AR171)/AT171,"NA")</f>
        <v>NA</v>
      </c>
      <c r="AX171" s="152" t="str">
        <f>IFERROR(SUMIFS(TME[[#All],[Total Non-Truncated Claims and Non-Claims Spending]],TME[[#All],[Reporting Year]],2020,TME[[#All],[Insurance Category Code]],6,TME[[#All],[Large Provider Entity Code]],AR171)/AT171,"NA")</f>
        <v>NA</v>
      </c>
      <c r="AY171" s="152" t="str">
        <f>IFERROR(SUMIFS(TME[[#All],[Truncated Total Expenses (Total Truncated Claims Expenses + Non-Claims Expenses)]],TME[[#All],[Reporting Year]],2020,TME[[#All],[Insurance Category Code]],6,TME[[#All],[Large Provider Entity Code]],AR171)/AT171,"NA")</f>
        <v>NA</v>
      </c>
      <c r="AZ171" s="141">
        <f>SUMIFS(TME[[#All],[Member Months]],TME[[#All],[Reporting Year]],2021,TME[[#All],[Insurance Category Code]],6,TME[[#All],[Large Provider Entity Code]],AR171)</f>
        <v>0</v>
      </c>
      <c r="BA171" s="152" t="str">
        <f>IFERROR(SUMIFS(TME[[#All],[Total Non-Truncated Claims Spending]],TME[[#All],[Reporting Year]],2021,TME[[#All],[Insurance Category Code]],6,TME[[#All],[Large Provider Entity Code]],AR171)/AZ171,"NA")</f>
        <v>NA</v>
      </c>
      <c r="BB171" s="152" t="str">
        <f>IFERROR(SUMIFS(TME[[#All],[Total Truncated Claims Spending]],TME[[#All],[Reporting Year]],2021,TME[[#All],[Insurance Category Code]],6,TME[[#All],[Large Provider Entity Code]],AR171)/AZ171,"NA")</f>
        <v>NA</v>
      </c>
      <c r="BC171" s="152" t="str">
        <f>IFERROR(SUMIFS(TME[[#All],[Total Non-Claims Spending]],TME[[#All],[Reporting Year]],2021,TME[[#All],[Insurance Category Code]],6,TME[[#All],[Large Provider Entity Code]],AR171)/AZ171,"NA")</f>
        <v>NA</v>
      </c>
      <c r="BD171" s="152" t="str">
        <f>IFERROR(SUMIFS(TME[[#All],[Total Non-Truncated Claims and Non-Claims Spending]],TME[[#All],[Reporting Year]],2021,TME[[#All],[Insurance Category Code]],6,TME[[#All],[Large Provider Entity Code]],AR171)/AZ171,"NA")</f>
        <v>NA</v>
      </c>
      <c r="BE171" s="152" t="str">
        <f>IFERROR(SUMIFS(TME[[#All],[Truncated Total Expenses (Total Truncated Claims Expenses + Non-Claims Expenses)]],TME[[#All],[Reporting Year]],2021,TME[[#All],[Insurance Category Code]],6,TME[[#All],[Large Provider Entity Code]],AR171)/AZ171,"NA")</f>
        <v>NA</v>
      </c>
      <c r="BF171" s="154" t="str">
        <f t="shared" si="279"/>
        <v>NA</v>
      </c>
      <c r="BG171" s="154" t="str">
        <f t="shared" si="280"/>
        <v>NA</v>
      </c>
      <c r="BH171" s="154" t="str">
        <f t="shared" si="281"/>
        <v>NA</v>
      </c>
      <c r="BI171" s="154" t="str">
        <f t="shared" si="282"/>
        <v>NA</v>
      </c>
      <c r="BJ171" s="154" t="str">
        <f t="shared" si="283"/>
        <v>NA</v>
      </c>
      <c r="BK171" s="154" t="str">
        <f t="shared" si="284"/>
        <v>NA</v>
      </c>
    </row>
    <row r="172" spans="2:63" x14ac:dyDescent="0.35">
      <c r="B172" s="79"/>
      <c r="C172" s="79" t="s">
        <v>245</v>
      </c>
      <c r="D172" s="151">
        <f>SUM(D160:D171)</f>
        <v>0</v>
      </c>
      <c r="E172" s="153" t="str">
        <f>IFERROR((SUMPRODUCT(E160:E171,D160:D171)/D172),"NA")</f>
        <v>NA</v>
      </c>
      <c r="F172" s="153" t="str">
        <f>IFERROR((SUMPRODUCT(F160:F171,D160:D171)/D172),"NA")</f>
        <v>NA</v>
      </c>
      <c r="G172" s="153" t="str">
        <f>IFERROR((SUMPRODUCT(G160:G171,D160:D171)/D172),"NA")</f>
        <v>NA</v>
      </c>
      <c r="H172" s="153" t="str">
        <f>IFERROR((SUMPRODUCT(H160:H171,D160:D171)/D172),"NA")</f>
        <v>NA</v>
      </c>
      <c r="I172" s="153" t="str">
        <f>IFERROR((SUMPRODUCT(I160:I171,D160:D171)/D172),"NA")</f>
        <v>NA</v>
      </c>
      <c r="J172" s="151">
        <f>SUM(J160:J171)</f>
        <v>0</v>
      </c>
      <c r="K172" s="153" t="str">
        <f>IFERROR((SUMPRODUCT(K160:K171,J160:J171)/J172),"NA")</f>
        <v>NA</v>
      </c>
      <c r="L172" s="153" t="str">
        <f>IFERROR((SUMPRODUCT(L160:L171,J160:J171)/J172),"NA")</f>
        <v>NA</v>
      </c>
      <c r="M172" s="153" t="str">
        <f>IFERROR((SUMPRODUCT(M160:M171,J160:J171)/J172),"NA")</f>
        <v>NA</v>
      </c>
      <c r="N172" s="153" t="str">
        <f>IFERROR((SUMPRODUCT(N160:N171,J160:J171)/J172),"NA")</f>
        <v>NA</v>
      </c>
      <c r="O172" s="153" t="str">
        <f>IFERROR((SUMPRODUCT(O160:O171,J160:J171)/J172),"NA")</f>
        <v>NA</v>
      </c>
      <c r="P172" s="155" t="str">
        <f t="shared" si="267"/>
        <v>NA</v>
      </c>
      <c r="Q172" s="155" t="str">
        <f t="shared" si="268"/>
        <v>NA</v>
      </c>
      <c r="R172" s="155" t="str">
        <f t="shared" si="269"/>
        <v>NA</v>
      </c>
      <c r="S172" s="155" t="str">
        <f t="shared" si="270"/>
        <v>NA</v>
      </c>
      <c r="T172" s="155" t="str">
        <f t="shared" si="271"/>
        <v>NA</v>
      </c>
      <c r="U172" s="155" t="str">
        <f t="shared" si="272"/>
        <v>NA</v>
      </c>
      <c r="W172" s="79"/>
      <c r="X172" s="79" t="s">
        <v>245</v>
      </c>
      <c r="Y172" s="151">
        <f>SUM(Y160:Y171)</f>
        <v>0</v>
      </c>
      <c r="Z172" s="153" t="str">
        <f>IFERROR((SUMPRODUCT(Z160:Z171,Y160:Y171)/Y172),"NA")</f>
        <v>NA</v>
      </c>
      <c r="AA172" s="153" t="str">
        <f>IFERROR((SUMPRODUCT(AA160:AA171,Y160:Y171)/Y172),"NA")</f>
        <v>NA</v>
      </c>
      <c r="AB172" s="153" t="str">
        <f>IFERROR((SUMPRODUCT(AB160:AB171,Y160:Y171)/Y172),"NA")</f>
        <v>NA</v>
      </c>
      <c r="AC172" s="153" t="str">
        <f>IFERROR((SUMPRODUCT(AC160:AC171,Y160:Y171)/Y172),"NA")</f>
        <v>NA</v>
      </c>
      <c r="AD172" s="153" t="str">
        <f>IFERROR((SUMPRODUCT(AD160:AD171,Y160:Y171)/Y172),"NA")</f>
        <v>NA</v>
      </c>
      <c r="AE172" s="151">
        <f>SUM(AE160:AE171)</f>
        <v>0</v>
      </c>
      <c r="AF172" s="153" t="str">
        <f>IFERROR((SUMPRODUCT(AF160:AF171,AE160:AE171)/AE172),"NA")</f>
        <v>NA</v>
      </c>
      <c r="AG172" s="153" t="str">
        <f>IFERROR((SUMPRODUCT(AG160:AG171,AE160:AE171)/AE172),"NA")</f>
        <v>NA</v>
      </c>
      <c r="AH172" s="153" t="str">
        <f>IFERROR((SUMPRODUCT(AH160:AH171,AE160:AE171)/AE172),"NA")</f>
        <v>NA</v>
      </c>
      <c r="AI172" s="153" t="str">
        <f>IFERROR((SUMPRODUCT(AI160:AI171,AE160:AE171)/AE172),"NA")</f>
        <v>NA</v>
      </c>
      <c r="AJ172" s="153" t="str">
        <f>IFERROR((SUMPRODUCT(AJ160:AJ171,AE160:AE171)/AE172),"NA")</f>
        <v>NA</v>
      </c>
      <c r="AK172" s="155" t="str">
        <f t="shared" si="273"/>
        <v>NA</v>
      </c>
      <c r="AL172" s="155" t="str">
        <f t="shared" si="274"/>
        <v>NA</v>
      </c>
      <c r="AM172" s="155" t="str">
        <f t="shared" si="275"/>
        <v>NA</v>
      </c>
      <c r="AN172" s="155" t="str">
        <f t="shared" si="276"/>
        <v>NA</v>
      </c>
      <c r="AO172" s="155" t="str">
        <f t="shared" si="277"/>
        <v>NA</v>
      </c>
      <c r="AP172" s="155" t="str">
        <f t="shared" si="278"/>
        <v>NA</v>
      </c>
      <c r="AR172" s="79"/>
      <c r="AS172" s="79" t="s">
        <v>245</v>
      </c>
      <c r="AT172" s="151">
        <f>SUM(AT160:AT171)</f>
        <v>0</v>
      </c>
      <c r="AU172" s="153" t="str">
        <f>IFERROR((SUMPRODUCT(AU160:AU171,AT160:AT171)/AT172),"NA")</f>
        <v>NA</v>
      </c>
      <c r="AV172" s="153" t="str">
        <f>IFERROR((SUMPRODUCT(AV160:AV171,AT160:AT171)/AT172),"NA")</f>
        <v>NA</v>
      </c>
      <c r="AW172" s="153" t="str">
        <f>IFERROR((SUMPRODUCT(AW160:AW171,AT160:AT171)/AT172),"NA")</f>
        <v>NA</v>
      </c>
      <c r="AX172" s="153" t="str">
        <f>IFERROR((SUMPRODUCT(AX160:AX171,AT160:AT171)/AT172),"NA")</f>
        <v>NA</v>
      </c>
      <c r="AY172" s="153" t="str">
        <f>IFERROR((SUMPRODUCT(AY160:AY171,AT160:AT171)/AT172),"NA")</f>
        <v>NA</v>
      </c>
      <c r="AZ172" s="151">
        <f>SUM(AZ160:AZ171)</f>
        <v>0</v>
      </c>
      <c r="BA172" s="153" t="str">
        <f>IFERROR((SUMPRODUCT(BA160:BA171,AZ160:AZ171)/AZ172),"NA")</f>
        <v>NA</v>
      </c>
      <c r="BB172" s="153" t="str">
        <f>IFERROR((SUMPRODUCT(BB160:BB171,AZ160:AZ171)/AZ172),"NA")</f>
        <v>NA</v>
      </c>
      <c r="BC172" s="153" t="str">
        <f>IFERROR((SUMPRODUCT(BC160:BC171,AZ160:AZ171)/AZ172),"NA")</f>
        <v>NA</v>
      </c>
      <c r="BD172" s="153" t="str">
        <f>IFERROR((SUMPRODUCT(BD160:BD171,AZ160:AZ171)/AZ172),"NA")</f>
        <v>NA</v>
      </c>
      <c r="BE172" s="153" t="str">
        <f>IFERROR((SUMPRODUCT(BE160:BE171,AZ160:AZ171)/AZ172),"NA")</f>
        <v>NA</v>
      </c>
      <c r="BF172" s="155" t="str">
        <f t="shared" si="279"/>
        <v>NA</v>
      </c>
      <c r="BG172" s="155" t="str">
        <f t="shared" si="280"/>
        <v>NA</v>
      </c>
      <c r="BH172" s="155" t="str">
        <f t="shared" si="281"/>
        <v>NA</v>
      </c>
      <c r="BI172" s="155" t="str">
        <f t="shared" si="282"/>
        <v>NA</v>
      </c>
      <c r="BJ172" s="155" t="str">
        <f t="shared" si="283"/>
        <v>NA</v>
      </c>
      <c r="BK172" s="155" t="str">
        <f t="shared" si="284"/>
        <v>NA</v>
      </c>
    </row>
    <row r="173" spans="2:63" x14ac:dyDescent="0.35">
      <c r="B173" s="79"/>
      <c r="C173" s="79" t="s">
        <v>246</v>
      </c>
      <c r="D173" s="151">
        <f>D172</f>
        <v>0</v>
      </c>
      <c r="E173" s="153" t="str">
        <f>IFERROR(((SUMPRODUCT(E160:E171,D160:D171))-ABS(SUMIFS(RX_REBATE[[#All],[Total Pharmacy Rebate Amount]],RX_REBATE[[#All],[Reporting Year]],2018,RX_REBATE[[#All],[Insurance Category Code]],6)))/D173,"NA")</f>
        <v>NA</v>
      </c>
      <c r="F173" s="153" t="str">
        <f>IFERROR(((SUMPRODUCT(F160:F171,D160:D171))-ABS(SUMIFS(RX_REBATE[[#All],[Total Pharmacy Rebate Amount]],RX_REBATE[[#All],[Reporting Year]],2018,RX_REBATE[[#All],[Insurance Category Code]],6)))/D173,"NA")</f>
        <v>NA</v>
      </c>
      <c r="G173" s="153" t="str">
        <f>IFERROR(((SUMPRODUCT(G160:G171,D160:D171))-ABS(SUMIFS(RX_REBATE[[#All],[Total Pharmacy Rebate Amount]],RX_REBATE[[#All],[Reporting Year]],2018,RX_REBATE[[#All],[Insurance Category Code]],6)))/D173,"NA")</f>
        <v>NA</v>
      </c>
      <c r="H173" s="153" t="str">
        <f>IFERROR(((SUMPRODUCT(H160:H171,D160:D171))-ABS(SUMIFS(RX_REBATE[[#All],[Total Pharmacy Rebate Amount]],RX_REBATE[[#All],[Reporting Year]],2018,RX_REBATE[[#All],[Insurance Category Code]],6)))/D173,"NA")</f>
        <v>NA</v>
      </c>
      <c r="I173" s="153" t="str">
        <f>IFERROR(((SUMPRODUCT(I160:I171,D160:D171))-ABS(SUMIFS(RX_REBATE[[#All],[Total Pharmacy Rebate Amount]],RX_REBATE[[#All],[Reporting Year]],2018,RX_REBATE[[#All],[Insurance Category Code]],6)))/D173,"NA")</f>
        <v>NA</v>
      </c>
      <c r="J173" s="151">
        <f t="shared" ref="J173" si="285">J172</f>
        <v>0</v>
      </c>
      <c r="K173" s="153" t="str">
        <f>IFERROR(((SUMPRODUCT(K160:K171,J160:J171))-ABS(SUMIFS(RX_REBATE[[#All],[Total Pharmacy Rebate Amount]],RX_REBATE[[#All],[Reporting Year]],2019,RX_REBATE[[#All],[Insurance Category Code]],6)))/J173,"NA")</f>
        <v>NA</v>
      </c>
      <c r="L173" s="153" t="str">
        <f>IFERROR(((SUMPRODUCT(L160:L171,J160:J171))-ABS(SUMIFS(RX_REBATE[[#All],[Total Pharmacy Rebate Amount]],RX_REBATE[[#All],[Reporting Year]],2019,RX_REBATE[[#All],[Insurance Category Code]],6)))/J173,"NA")</f>
        <v>NA</v>
      </c>
      <c r="M173" s="153" t="str">
        <f>IFERROR(((SUMPRODUCT(M160:M171,J160:J171))-ABS(SUMIFS(RX_REBATE[[#All],[Total Pharmacy Rebate Amount]],RX_REBATE[[#All],[Reporting Year]],2019,RX_REBATE[[#All],[Insurance Category Code]],6)))/J173,"NA")</f>
        <v>NA</v>
      </c>
      <c r="N173" s="153" t="str">
        <f>IFERROR(((SUMPRODUCT(N160:N171,J160:J171))-ABS(SUMIFS(RX_REBATE[[#All],[Total Pharmacy Rebate Amount]],RX_REBATE[[#All],[Reporting Year]],2019,RX_REBATE[[#All],[Insurance Category Code]],6)))/J173,"NA")</f>
        <v>NA</v>
      </c>
      <c r="O173" s="153" t="str">
        <f>IFERROR(((SUMPRODUCT(O160:O171,J160:J171))-ABS(SUMIFS(RX_REBATE[[#All],[Total Pharmacy Rebate Amount]],RX_REBATE[[#All],[Reporting Year]],2019,RX_REBATE[[#All],[Insurance Category Code]],6)))/J173,"NA")</f>
        <v>NA</v>
      </c>
      <c r="P173" s="155" t="str">
        <f t="shared" si="267"/>
        <v>NA</v>
      </c>
      <c r="Q173" s="155" t="str">
        <f t="shared" si="268"/>
        <v>NA</v>
      </c>
      <c r="R173" s="155" t="str">
        <f t="shared" si="269"/>
        <v>NA</v>
      </c>
      <c r="S173" s="155" t="str">
        <f t="shared" si="270"/>
        <v>NA</v>
      </c>
      <c r="T173" s="155" t="str">
        <f t="shared" si="271"/>
        <v>NA</v>
      </c>
      <c r="U173" s="155" t="str">
        <f t="shared" si="272"/>
        <v>NA</v>
      </c>
      <c r="W173" s="79"/>
      <c r="X173" s="79" t="s">
        <v>246</v>
      </c>
      <c r="Y173" s="151">
        <f>Y172</f>
        <v>0</v>
      </c>
      <c r="Z173" s="153" t="str">
        <f>IFERROR(((SUMPRODUCT(Z160:Z171,Y160:Y171))-ABS(SUMIFS(RX_REBATE[[#All],[Total Pharmacy Rebate Amount]],RX_REBATE[[#All],[Reporting Year]],2019,RX_REBATE[[#All],[Insurance Category Code]],6)))/Y173,"NA")</f>
        <v>NA</v>
      </c>
      <c r="AA173" s="153" t="str">
        <f>IFERROR(((SUMPRODUCT(AA160:AA171,Y160:Y171))-ABS(SUMIFS(RX_REBATE[[#All],[Total Pharmacy Rebate Amount]],RX_REBATE[[#All],[Reporting Year]],2019,RX_REBATE[[#All],[Insurance Category Code]],6)))/Y173,"NA")</f>
        <v>NA</v>
      </c>
      <c r="AB173" s="153" t="str">
        <f>IFERROR(((SUMPRODUCT(AB160:AB171,Y160:Y171))-ABS(SUMIFS(RX_REBATE[[#All],[Total Pharmacy Rebate Amount]],RX_REBATE[[#All],[Reporting Year]],2019,RX_REBATE[[#All],[Insurance Category Code]],6)))/Y173,"NA")</f>
        <v>NA</v>
      </c>
      <c r="AC173" s="153" t="str">
        <f>IFERROR(((SUMPRODUCT(AC160:AC171,Y160:Y171))-ABS(SUMIFS(RX_REBATE[[#All],[Total Pharmacy Rebate Amount]],RX_REBATE[[#All],[Reporting Year]],2019,RX_REBATE[[#All],[Insurance Category Code]],6)))/Y173,"NA")</f>
        <v>NA</v>
      </c>
      <c r="AD173" s="153" t="str">
        <f>IFERROR(((SUMPRODUCT(AD160:AD171,Y160:Y171))-ABS(SUMIFS(RX_REBATE[[#All],[Total Pharmacy Rebate Amount]],RX_REBATE[[#All],[Reporting Year]],2019,RX_REBATE[[#All],[Insurance Category Code]],6)))/Y173,"NA")</f>
        <v>NA</v>
      </c>
      <c r="AE173" s="151">
        <f t="shared" ref="AE173" si="286">AE172</f>
        <v>0</v>
      </c>
      <c r="AF173" s="153" t="str">
        <f>IFERROR(((SUMPRODUCT(AF160:AF171,AE160:AE171))-ABS(SUMIFS(RX_REBATE[[#All],[Total Pharmacy Rebate Amount]],RX_REBATE[[#All],[Reporting Year]],2020,RX_REBATE[[#All],[Insurance Category Code]],6)))/AE173,"NA")</f>
        <v>NA</v>
      </c>
      <c r="AG173" s="153" t="str">
        <f>IFERROR(((SUMPRODUCT(AG160:AG171,AE160:AE171))-ABS(SUMIFS(RX_REBATE[[#All],[Total Pharmacy Rebate Amount]],RX_REBATE[[#All],[Reporting Year]],2020,RX_REBATE[[#All],[Insurance Category Code]],6)))/AE173,"NA")</f>
        <v>NA</v>
      </c>
      <c r="AH173" s="153" t="str">
        <f>IFERROR(((SUMPRODUCT(AH160:AH171,AE160:AE171))-ABS(SUMIFS(RX_REBATE[[#All],[Total Pharmacy Rebate Amount]],RX_REBATE[[#All],[Reporting Year]],2020,RX_REBATE[[#All],[Insurance Category Code]],6)))/AE173,"NA")</f>
        <v>NA</v>
      </c>
      <c r="AI173" s="153" t="str">
        <f>IFERROR(((SUMPRODUCT(AI160:AI171,AE160:AE171))-ABS(SUMIFS(RX_REBATE[[#All],[Total Pharmacy Rebate Amount]],RX_REBATE[[#All],[Reporting Year]],2020,RX_REBATE[[#All],[Insurance Category Code]],6)))/AE173,"NA")</f>
        <v>NA</v>
      </c>
      <c r="AJ173" s="153" t="str">
        <f>IFERROR(((SUMPRODUCT(AJ160:AJ171,AE160:AE171))-ABS(SUMIFS(RX_REBATE[[#All],[Total Pharmacy Rebate Amount]],RX_REBATE[[#All],[Reporting Year]],2020,RX_REBATE[[#All],[Insurance Category Code]],6)))/AE173,"NA")</f>
        <v>NA</v>
      </c>
      <c r="AK173" s="155" t="str">
        <f t="shared" si="273"/>
        <v>NA</v>
      </c>
      <c r="AL173" s="155" t="str">
        <f t="shared" si="274"/>
        <v>NA</v>
      </c>
      <c r="AM173" s="155" t="str">
        <f t="shared" si="275"/>
        <v>NA</v>
      </c>
      <c r="AN173" s="155" t="str">
        <f t="shared" si="276"/>
        <v>NA</v>
      </c>
      <c r="AO173" s="155" t="str">
        <f t="shared" si="277"/>
        <v>NA</v>
      </c>
      <c r="AP173" s="155" t="str">
        <f t="shared" si="278"/>
        <v>NA</v>
      </c>
      <c r="AR173" s="79"/>
      <c r="AS173" s="79" t="s">
        <v>246</v>
      </c>
      <c r="AT173" s="151">
        <f>AT172</f>
        <v>0</v>
      </c>
      <c r="AU173" s="153" t="str">
        <f>IFERROR(((SUMPRODUCT(AU160:AU171,AT160:AT171))-ABS(SUMIFS(RX_REBATE[[#All],[Total Pharmacy Rebate Amount]],RX_REBATE[[#All],[Reporting Year]],2020,RX_REBATE[[#All],[Insurance Category Code]],6)))/AT173,"NA")</f>
        <v>NA</v>
      </c>
      <c r="AV173" s="153" t="str">
        <f>IFERROR(((SUMPRODUCT(AV160:AV171,AT160:AT171))-ABS(SUMIFS(RX_REBATE[[#All],[Total Pharmacy Rebate Amount]],RX_REBATE[[#All],[Reporting Year]],2020,RX_REBATE[[#All],[Insurance Category Code]],6)))/AT173,"NA")</f>
        <v>NA</v>
      </c>
      <c r="AW173" s="153" t="str">
        <f>IFERROR(((SUMPRODUCT(AW160:AW171,AT160:AT171))-ABS(SUMIFS(RX_REBATE[[#All],[Total Pharmacy Rebate Amount]],RX_REBATE[[#All],[Reporting Year]],2020,RX_REBATE[[#All],[Insurance Category Code]],6)))/AT173,"NA")</f>
        <v>NA</v>
      </c>
      <c r="AX173" s="153" t="str">
        <f>IFERROR(((SUMPRODUCT(AX160:AX171,AT160:AT171))-ABS(SUMIFS(RX_REBATE[[#All],[Total Pharmacy Rebate Amount]],RX_REBATE[[#All],[Reporting Year]],2020,RX_REBATE[[#All],[Insurance Category Code]],6)))/AT173,"NA")</f>
        <v>NA</v>
      </c>
      <c r="AY173" s="153" t="str">
        <f>IFERROR(((SUMPRODUCT(AY160:AY171,AT160:AT171))-ABS(SUMIFS(RX_REBATE[[#All],[Total Pharmacy Rebate Amount]],RX_REBATE[[#All],[Reporting Year]],2020,RX_REBATE[[#All],[Insurance Category Code]],6)))/AT173,"NA")</f>
        <v>NA</v>
      </c>
      <c r="AZ173" s="151">
        <f t="shared" ref="AZ173" si="287">AZ172</f>
        <v>0</v>
      </c>
      <c r="BA173" s="153" t="str">
        <f>IFERROR(((SUMPRODUCT(BA160:BA171,AZ160:AZ171))-ABS(SUMIFS(RX_REBATE[[#All],[Total Pharmacy Rebate Amount]],RX_REBATE[[#All],[Reporting Year]],2021,RX_REBATE[[#All],[Insurance Category Code]],6)))/AZ173,"NA")</f>
        <v>NA</v>
      </c>
      <c r="BB173" s="153" t="str">
        <f>IFERROR(((SUMPRODUCT(BB160:BB171,AZ160:AZ171))-ABS(SUMIFS(RX_REBATE[[#All],[Total Pharmacy Rebate Amount]],RX_REBATE[[#All],[Reporting Year]],2021,RX_REBATE[[#All],[Insurance Category Code]],6)))/AZ173,"NA")</f>
        <v>NA</v>
      </c>
      <c r="BC173" s="153" t="str">
        <f>IFERROR(((SUMPRODUCT(BC160:BC171,AZ160:AZ171))-ABS(SUMIFS(RX_REBATE[[#All],[Total Pharmacy Rebate Amount]],RX_REBATE[[#All],[Reporting Year]],2021,RX_REBATE[[#All],[Insurance Category Code]],6)))/AZ173,"NA")</f>
        <v>NA</v>
      </c>
      <c r="BD173" s="153" t="str">
        <f>IFERROR(((SUMPRODUCT(BD160:BD171,AZ160:AZ171))-ABS(SUMIFS(RX_REBATE[[#All],[Total Pharmacy Rebate Amount]],RX_REBATE[[#All],[Reporting Year]],2021,RX_REBATE[[#All],[Insurance Category Code]],6)))/AZ173,"NA")</f>
        <v>NA</v>
      </c>
      <c r="BE173" s="153" t="str">
        <f>IFERROR(((SUMPRODUCT(BE160:BE171,AZ160:AZ171))-ABS(SUMIFS(RX_REBATE[[#All],[Total Pharmacy Rebate Amount]],RX_REBATE[[#All],[Reporting Year]],2021,RX_REBATE[[#All],[Insurance Category Code]],6)))/AZ173,"NA")</f>
        <v>NA</v>
      </c>
      <c r="BF173" s="155" t="str">
        <f t="shared" si="279"/>
        <v>NA</v>
      </c>
      <c r="BG173" s="155" t="str">
        <f t="shared" si="280"/>
        <v>NA</v>
      </c>
      <c r="BH173" s="155" t="str">
        <f t="shared" si="281"/>
        <v>NA</v>
      </c>
      <c r="BI173" s="155" t="str">
        <f t="shared" si="282"/>
        <v>NA</v>
      </c>
      <c r="BJ173" s="155" t="str">
        <f t="shared" si="283"/>
        <v>NA</v>
      </c>
      <c r="BK173" s="155" t="str">
        <f t="shared" si="284"/>
        <v>NA</v>
      </c>
    </row>
  </sheetData>
  <mergeCells count="109">
    <mergeCell ref="B139:C139"/>
    <mergeCell ref="P139:U139"/>
    <mergeCell ref="D139:I139"/>
    <mergeCell ref="J139:O139"/>
    <mergeCell ref="P44:U44"/>
    <mergeCell ref="B44:C44"/>
    <mergeCell ref="B63:C63"/>
    <mergeCell ref="P63:U63"/>
    <mergeCell ref="D63:I63"/>
    <mergeCell ref="J63:O63"/>
    <mergeCell ref="D44:I44"/>
    <mergeCell ref="J44:O44"/>
    <mergeCell ref="B25:C25"/>
    <mergeCell ref="P25:U25"/>
    <mergeCell ref="B6:C6"/>
    <mergeCell ref="P6:U6"/>
    <mergeCell ref="D25:I25"/>
    <mergeCell ref="J25:O25"/>
    <mergeCell ref="D6:I6"/>
    <mergeCell ref="J6:O6"/>
    <mergeCell ref="B3:U3"/>
    <mergeCell ref="W6:X6"/>
    <mergeCell ref="Y6:AD6"/>
    <mergeCell ref="AE6:AJ6"/>
    <mergeCell ref="AK6:AP6"/>
    <mergeCell ref="W25:X25"/>
    <mergeCell ref="Y25:AD25"/>
    <mergeCell ref="AE25:AJ25"/>
    <mergeCell ref="AK25:AP25"/>
    <mergeCell ref="B158:C158"/>
    <mergeCell ref="P158:U158"/>
    <mergeCell ref="D158:I158"/>
    <mergeCell ref="J158:O158"/>
    <mergeCell ref="B82:C82"/>
    <mergeCell ref="P82:U82"/>
    <mergeCell ref="B120:C120"/>
    <mergeCell ref="P120:U120"/>
    <mergeCell ref="D120:I120"/>
    <mergeCell ref="J120:O120"/>
    <mergeCell ref="D101:I101"/>
    <mergeCell ref="J101:O101"/>
    <mergeCell ref="D82:I82"/>
    <mergeCell ref="J82:O82"/>
    <mergeCell ref="B101:C101"/>
    <mergeCell ref="P101:U101"/>
    <mergeCell ref="W82:X82"/>
    <mergeCell ref="Y82:AD82"/>
    <mergeCell ref="AE82:AJ82"/>
    <mergeCell ref="AK82:AP82"/>
    <mergeCell ref="W101:X101"/>
    <mergeCell ref="Y101:AD101"/>
    <mergeCell ref="AE101:AJ101"/>
    <mergeCell ref="AK101:AP101"/>
    <mergeCell ref="W44:X44"/>
    <mergeCell ref="Y44:AD44"/>
    <mergeCell ref="AE44:AJ44"/>
    <mergeCell ref="AK44:AP44"/>
    <mergeCell ref="W63:X63"/>
    <mergeCell ref="Y63:AD63"/>
    <mergeCell ref="AE63:AJ63"/>
    <mergeCell ref="AK63:AP63"/>
    <mergeCell ref="AT6:AY6"/>
    <mergeCell ref="AZ6:BE6"/>
    <mergeCell ref="BF6:BK6"/>
    <mergeCell ref="AR25:AS25"/>
    <mergeCell ref="AT25:AY25"/>
    <mergeCell ref="AZ25:BE25"/>
    <mergeCell ref="BF25:BK25"/>
    <mergeCell ref="W158:X158"/>
    <mergeCell ref="Y158:AD158"/>
    <mergeCell ref="AE158:AJ158"/>
    <mergeCell ref="AK158:AP158"/>
    <mergeCell ref="AR6:AS6"/>
    <mergeCell ref="AR44:AS44"/>
    <mergeCell ref="AR82:AS82"/>
    <mergeCell ref="AR120:AS120"/>
    <mergeCell ref="AR158:AS158"/>
    <mergeCell ref="W120:X120"/>
    <mergeCell ref="Y120:AD120"/>
    <mergeCell ref="AE120:AJ120"/>
    <mergeCell ref="AK120:AP120"/>
    <mergeCell ref="W139:X139"/>
    <mergeCell ref="Y139:AD139"/>
    <mergeCell ref="AE139:AJ139"/>
    <mergeCell ref="AK139:AP139"/>
    <mergeCell ref="AT82:AY82"/>
    <mergeCell ref="AZ82:BE82"/>
    <mergeCell ref="BF82:BK82"/>
    <mergeCell ref="AR101:AS101"/>
    <mergeCell ref="AT101:AY101"/>
    <mergeCell ref="AZ101:BE101"/>
    <mergeCell ref="BF101:BK101"/>
    <mergeCell ref="AT44:AY44"/>
    <mergeCell ref="AZ44:BE44"/>
    <mergeCell ref="BF44:BK44"/>
    <mergeCell ref="AR63:AS63"/>
    <mergeCell ref="AT63:AY63"/>
    <mergeCell ref="AZ63:BE63"/>
    <mergeCell ref="BF63:BK63"/>
    <mergeCell ref="AT158:AY158"/>
    <mergeCell ref="AZ158:BE158"/>
    <mergeCell ref="BF158:BK158"/>
    <mergeCell ref="AT120:AY120"/>
    <mergeCell ref="AZ120:BE120"/>
    <mergeCell ref="BF120:BK120"/>
    <mergeCell ref="AR139:AS139"/>
    <mergeCell ref="AT139:AY139"/>
    <mergeCell ref="AZ139:BE139"/>
    <mergeCell ref="BF139:BK139"/>
  </mergeCells>
  <conditionalFormatting sqref="U8:U19">
    <cfRule type="cellIs" dxfId="53" priority="113" operator="greaterThan">
      <formula>0.1</formula>
    </cfRule>
    <cfRule type="cellIs" dxfId="52" priority="108" operator="lessThan">
      <formula>-0.1</formula>
    </cfRule>
  </conditionalFormatting>
  <conditionalFormatting sqref="AP8:AP19">
    <cfRule type="cellIs" dxfId="51" priority="111" operator="lessThan">
      <formula>-0.1</formula>
    </cfRule>
    <cfRule type="cellIs" dxfId="50" priority="112" operator="greaterThan">
      <formula>0.1</formula>
    </cfRule>
  </conditionalFormatting>
  <conditionalFormatting sqref="BK8:BK19">
    <cfRule type="cellIs" dxfId="49" priority="109" operator="lessThan">
      <formula>-0.1</formula>
    </cfRule>
    <cfRule type="cellIs" dxfId="48" priority="110" operator="greaterThan">
      <formula>0.1</formula>
    </cfRule>
  </conditionalFormatting>
  <conditionalFormatting sqref="A1:XFD22 A174:XFD1048576">
    <cfRule type="cellIs" priority="58" stopIfTrue="1" operator="equal">
      <formula>"NA"</formula>
    </cfRule>
  </conditionalFormatting>
  <conditionalFormatting sqref="U27:U38">
    <cfRule type="cellIs" dxfId="47" priority="52" operator="lessThan">
      <formula>-0.1</formula>
    </cfRule>
    <cfRule type="cellIs" dxfId="46" priority="57" operator="greaterThan">
      <formula>0.1</formula>
    </cfRule>
  </conditionalFormatting>
  <conditionalFormatting sqref="AP27:AP38">
    <cfRule type="cellIs" dxfId="45" priority="55" operator="lessThan">
      <formula>-0.1</formula>
    </cfRule>
    <cfRule type="cellIs" dxfId="44" priority="56" operator="greaterThan">
      <formula>0.1</formula>
    </cfRule>
  </conditionalFormatting>
  <conditionalFormatting sqref="BK27:BK38">
    <cfRule type="cellIs" dxfId="43" priority="53" operator="lessThan">
      <formula>-0.1</formula>
    </cfRule>
    <cfRule type="cellIs" dxfId="42" priority="54" operator="greaterThan">
      <formula>0.1</formula>
    </cfRule>
  </conditionalFormatting>
  <conditionalFormatting sqref="A27:XFD40">
    <cfRule type="cellIs" priority="51" stopIfTrue="1" operator="equal">
      <formula>"NA"</formula>
    </cfRule>
  </conditionalFormatting>
  <conditionalFormatting sqref="U46:U57">
    <cfRule type="cellIs" dxfId="41" priority="45" operator="lessThan">
      <formula>-0.1</formula>
    </cfRule>
    <cfRule type="cellIs" dxfId="40" priority="50" operator="greaterThan">
      <formula>0.1</formula>
    </cfRule>
  </conditionalFormatting>
  <conditionalFormatting sqref="AP46:AP57">
    <cfRule type="cellIs" dxfId="39" priority="48" operator="lessThan">
      <formula>-0.1</formula>
    </cfRule>
    <cfRule type="cellIs" dxfId="38" priority="49" operator="greaterThan">
      <formula>0.1</formula>
    </cfRule>
  </conditionalFormatting>
  <conditionalFormatting sqref="BK46:BK57">
    <cfRule type="cellIs" dxfId="37" priority="46" operator="lessThan">
      <formula>-0.1</formula>
    </cfRule>
    <cfRule type="cellIs" dxfId="36" priority="47" operator="greaterThan">
      <formula>0.1</formula>
    </cfRule>
  </conditionalFormatting>
  <conditionalFormatting sqref="A46:XFD56 A58:XFD59 A57 C57:XFD57">
    <cfRule type="cellIs" priority="44" stopIfTrue="1" operator="equal">
      <formula>"NA"</formula>
    </cfRule>
  </conditionalFormatting>
  <conditionalFormatting sqref="U65:U76">
    <cfRule type="cellIs" dxfId="35" priority="38" operator="lessThan">
      <formula>-0.1</formula>
    </cfRule>
    <cfRule type="cellIs" dxfId="34" priority="43" operator="greaterThan">
      <formula>0.1</formula>
    </cfRule>
  </conditionalFormatting>
  <conditionalFormatting sqref="AP65:AP76">
    <cfRule type="cellIs" dxfId="33" priority="41" operator="lessThan">
      <formula>-0.1</formula>
    </cfRule>
    <cfRule type="cellIs" dxfId="32" priority="42" operator="greaterThan">
      <formula>0.1</formula>
    </cfRule>
  </conditionalFormatting>
  <conditionalFormatting sqref="BK65:BK76">
    <cfRule type="cellIs" dxfId="31" priority="39" operator="lessThan">
      <formula>-0.1</formula>
    </cfRule>
    <cfRule type="cellIs" dxfId="30" priority="40" operator="greaterThan">
      <formula>0.1</formula>
    </cfRule>
  </conditionalFormatting>
  <conditionalFormatting sqref="A65:XFD77">
    <cfRule type="cellIs" priority="37" stopIfTrue="1" operator="equal">
      <formula>"NA"</formula>
    </cfRule>
  </conditionalFormatting>
  <conditionalFormatting sqref="U84:U95">
    <cfRule type="cellIs" dxfId="29" priority="31" operator="lessThan">
      <formula>-0.1</formula>
    </cfRule>
    <cfRule type="cellIs" dxfId="28" priority="36" operator="greaterThan">
      <formula>0.1</formula>
    </cfRule>
  </conditionalFormatting>
  <conditionalFormatting sqref="AP84:AP95">
    <cfRule type="cellIs" dxfId="27" priority="34" operator="lessThan">
      <formula>-0.1</formula>
    </cfRule>
    <cfRule type="cellIs" dxfId="26" priority="35" operator="greaterThan">
      <formula>0.1</formula>
    </cfRule>
  </conditionalFormatting>
  <conditionalFormatting sqref="BK84:BK95">
    <cfRule type="cellIs" dxfId="25" priority="32" operator="lessThan">
      <formula>-0.1</formula>
    </cfRule>
    <cfRule type="cellIs" dxfId="24" priority="33" operator="greaterThan">
      <formula>0.1</formula>
    </cfRule>
  </conditionalFormatting>
  <conditionalFormatting sqref="A84:XFD97">
    <cfRule type="cellIs" priority="30" stopIfTrue="1" operator="equal">
      <formula>"NA"</formula>
    </cfRule>
  </conditionalFormatting>
  <conditionalFormatting sqref="U103:U114">
    <cfRule type="cellIs" dxfId="23" priority="24" operator="lessThan">
      <formula>-0.1</formula>
    </cfRule>
    <cfRule type="cellIs" dxfId="22" priority="29" operator="greaterThan">
      <formula>0.1</formula>
    </cfRule>
  </conditionalFormatting>
  <conditionalFormatting sqref="AP103:AP114">
    <cfRule type="cellIs" dxfId="21" priority="27" operator="lessThan">
      <formula>-0.1</formula>
    </cfRule>
    <cfRule type="cellIs" dxfId="20" priority="28" operator="greaterThan">
      <formula>0.1</formula>
    </cfRule>
  </conditionalFormatting>
  <conditionalFormatting sqref="BK103:BK114">
    <cfRule type="cellIs" dxfId="19" priority="25" operator="lessThan">
      <formula>-0.1</formula>
    </cfRule>
    <cfRule type="cellIs" dxfId="18" priority="26" operator="greaterThan">
      <formula>0.1</formula>
    </cfRule>
  </conditionalFormatting>
  <conditionalFormatting sqref="A103:XFD116">
    <cfRule type="cellIs" priority="23" stopIfTrue="1" operator="equal">
      <formula>"NA"</formula>
    </cfRule>
  </conditionalFormatting>
  <conditionalFormatting sqref="U122:U133">
    <cfRule type="cellIs" dxfId="17" priority="17" operator="lessThan">
      <formula>-0.1</formula>
    </cfRule>
    <cfRule type="cellIs" dxfId="16" priority="22" operator="greaterThan">
      <formula>0.1</formula>
    </cfRule>
  </conditionalFormatting>
  <conditionalFormatting sqref="AP122:AP133">
    <cfRule type="cellIs" dxfId="15" priority="20" operator="lessThan">
      <formula>-0.1</formula>
    </cfRule>
    <cfRule type="cellIs" dxfId="14" priority="21" operator="greaterThan">
      <formula>0.1</formula>
    </cfRule>
  </conditionalFormatting>
  <conditionalFormatting sqref="BK122:BK133">
    <cfRule type="cellIs" dxfId="13" priority="18" operator="lessThan">
      <formula>-0.1</formula>
    </cfRule>
    <cfRule type="cellIs" dxfId="12" priority="19" operator="greaterThan">
      <formula>0.1</formula>
    </cfRule>
  </conditionalFormatting>
  <conditionalFormatting sqref="A122:XFD135">
    <cfRule type="cellIs" priority="16" stopIfTrue="1" operator="equal">
      <formula>"NA"</formula>
    </cfRule>
  </conditionalFormatting>
  <conditionalFormatting sqref="U141:U152">
    <cfRule type="cellIs" dxfId="11" priority="10" operator="lessThan">
      <formula>-0.1</formula>
    </cfRule>
    <cfRule type="cellIs" dxfId="10" priority="15" operator="greaterThan">
      <formula>0.1</formula>
    </cfRule>
  </conditionalFormatting>
  <conditionalFormatting sqref="AP141:AP152">
    <cfRule type="cellIs" dxfId="9" priority="13" operator="lessThan">
      <formula>-0.1</formula>
    </cfRule>
    <cfRule type="cellIs" dxfId="8" priority="14" operator="greaterThan">
      <formula>0.1</formula>
    </cfRule>
  </conditionalFormatting>
  <conditionalFormatting sqref="BK141:BK152">
    <cfRule type="cellIs" dxfId="7" priority="11" operator="lessThan">
      <formula>-0.1</formula>
    </cfRule>
    <cfRule type="cellIs" dxfId="6" priority="12" operator="greaterThan">
      <formula>0.1</formula>
    </cfRule>
  </conditionalFormatting>
  <conditionalFormatting sqref="A141:XFD154">
    <cfRule type="cellIs" priority="9" stopIfTrue="1" operator="equal">
      <formula>"NA"</formula>
    </cfRule>
  </conditionalFormatting>
  <conditionalFormatting sqref="U160:U171">
    <cfRule type="cellIs" dxfId="5" priority="3" operator="lessThan">
      <formula>-0.1</formula>
    </cfRule>
    <cfRule type="cellIs" dxfId="4" priority="8" operator="greaterThan">
      <formula>0.1</formula>
    </cfRule>
  </conditionalFormatting>
  <conditionalFormatting sqref="AP160:AP171">
    <cfRule type="cellIs" dxfId="3" priority="6" operator="lessThan">
      <formula>-0.1</formula>
    </cfRule>
    <cfRule type="cellIs" dxfId="2" priority="7" operator="greaterThan">
      <formula>0.1</formula>
    </cfRule>
  </conditionalFormatting>
  <conditionalFormatting sqref="BK160:BK171">
    <cfRule type="cellIs" dxfId="1" priority="4" operator="lessThan">
      <formula>-0.1</formula>
    </cfRule>
    <cfRule type="cellIs" dxfId="0" priority="5" operator="greaterThan">
      <formula>0.1</formula>
    </cfRule>
  </conditionalFormatting>
  <conditionalFormatting sqref="A160:XFD173">
    <cfRule type="cellIs" priority="2" stopIfTrue="1" operator="equal">
      <formula>"NA"</formula>
    </cfRule>
  </conditionalFormatting>
  <conditionalFormatting sqref="B57">
    <cfRule type="cellIs" priority="1" stopIfTrue="1" operator="equal">
      <formula>"NA"</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905CCA8E9DD647A2E0EAE79DD49197" ma:contentTypeVersion="9" ma:contentTypeDescription="Create a new document." ma:contentTypeScope="" ma:versionID="5a9312aab0c3b4b269112f169a6ed9a0">
  <xsd:schema xmlns:xsd="http://www.w3.org/2001/XMLSchema" xmlns:xs="http://www.w3.org/2001/XMLSchema" xmlns:p="http://schemas.microsoft.com/office/2006/metadata/properties" xmlns:ns2="506b9be8-a334-4f59-9323-022219438bf6" xmlns:ns3="d29a8555-db37-4257-91ea-e6d336cdedf2" targetNamespace="http://schemas.microsoft.com/office/2006/metadata/properties" ma:root="true" ma:fieldsID="8a659387e8283c423bb07cf90b4f6f39" ns2:_="" ns3:_="">
    <xsd:import namespace="506b9be8-a334-4f59-9323-022219438bf6"/>
    <xsd:import namespace="d29a8555-db37-4257-91ea-e6d336cded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6b9be8-a334-4f59-9323-022219438b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9a8555-db37-4257-91ea-e6d336cded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E6660E-20BE-4BF4-A3E5-DEACAC468B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6b9be8-a334-4f59-9323-022219438bf6"/>
    <ds:schemaRef ds:uri="d29a8555-db37-4257-91ea-e6d336cded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C55A14-10C7-405F-BC4C-F1EABC2E27DE}">
  <ds:schemaRefs>
    <ds:schemaRef ds:uri="http://schemas.microsoft.com/office/infopath/2007/PartnerControls"/>
    <ds:schemaRef ds:uri="81a8b94b-56e9-4e48-b4fa-054709ee824c"/>
    <ds:schemaRef ds:uri="http://purl.org/dc/elements/1.1/"/>
    <ds:schemaRef ds:uri="http://www.w3.org/XML/1998/namespace"/>
    <ds:schemaRef ds:uri="http://schemas.microsoft.com/office/2006/documentManagement/types"/>
    <ds:schemaRef ds:uri="http://purl.org/dc/dcmitype/"/>
    <ds:schemaRef ds:uri="http://schemas.microsoft.com/office/2006/metadata/properties"/>
    <ds:schemaRef ds:uri="http://schemas.openxmlformats.org/package/2006/metadata/core-properties"/>
    <ds:schemaRef ds:uri="d29a8555-db37-4257-91ea-e6d336cdedf2"/>
    <ds:schemaRef ds:uri="http://purl.org/dc/terms/"/>
  </ds:schemaRefs>
</ds:datastoreItem>
</file>

<file path=customXml/itemProps3.xml><?xml version="1.0" encoding="utf-8"?>
<ds:datastoreItem xmlns:ds="http://schemas.openxmlformats.org/officeDocument/2006/customXml" ds:itemID="{226B5BB4-C412-40CB-8511-52CF28DBC0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43</vt:i4>
      </vt:variant>
    </vt:vector>
  </HeadingPairs>
  <TitlesOfParts>
    <vt:vector size="54" baseType="lpstr">
      <vt:lpstr>Contents</vt:lpstr>
      <vt:lpstr>Reference Tables</vt:lpstr>
      <vt:lpstr>1. Cover Page</vt:lpstr>
      <vt:lpstr>2. TME</vt:lpstr>
      <vt:lpstr>3. SD</vt:lpstr>
      <vt:lpstr>4. LOB_ENROLL</vt:lpstr>
      <vt:lpstr>5. RX_REBATE</vt:lpstr>
      <vt:lpstr>6. Mandatory Questions</vt:lpstr>
      <vt:lpstr>Data Validation Checks</vt:lpstr>
      <vt:lpstr>Validation by Market</vt:lpstr>
      <vt:lpstr>Validation by Provider</vt:lpstr>
      <vt:lpstr>'Reference Tables'!_ftn1</vt:lpstr>
      <vt:lpstr>'Reference Tables'!_ftn2</vt:lpstr>
      <vt:lpstr>'Reference Tables'!_ftn3</vt:lpstr>
      <vt:lpstr>'Reference Tables'!_ftnref1</vt:lpstr>
      <vt:lpstr>'Reference Tables'!_ftnref2</vt:lpstr>
      <vt:lpstr>'Reference Tables'!_ftnref3</vt:lpstr>
      <vt:lpstr>Commercial_MemberMonths_2018</vt:lpstr>
      <vt:lpstr>Commercial_MemberMonths_2019</vt:lpstr>
      <vt:lpstr>Commercial_MemberMonths_2020</vt:lpstr>
      <vt:lpstr>Commercial_MemberMonths_2021</vt:lpstr>
      <vt:lpstr>ICC1_MemberMonths_2018</vt:lpstr>
      <vt:lpstr>ICC1_MemberMonths_2019</vt:lpstr>
      <vt:lpstr>ICC1_MemberMonths_2020</vt:lpstr>
      <vt:lpstr>ICC1_MemberMonths_2021</vt:lpstr>
      <vt:lpstr>ICC2_MemberMonths_2018</vt:lpstr>
      <vt:lpstr>ICC2_MemberMonths_2019</vt:lpstr>
      <vt:lpstr>ICC2_MemberMonths_2020</vt:lpstr>
      <vt:lpstr>ICC2_MemberMonths_2021</vt:lpstr>
      <vt:lpstr>ICC3_MemberMonths_2018</vt:lpstr>
      <vt:lpstr>ICC3_MemberMonths_2019</vt:lpstr>
      <vt:lpstr>ICC3_MemberMonths_2020</vt:lpstr>
      <vt:lpstr>ICC3_MemberMonths_2021</vt:lpstr>
      <vt:lpstr>ICC4_MemberMonths_2018</vt:lpstr>
      <vt:lpstr>ICC4_MemberMonths_2019</vt:lpstr>
      <vt:lpstr>ICC4_MemberMonths_2020</vt:lpstr>
      <vt:lpstr>ICC4_MemberMonths_2021</vt:lpstr>
      <vt:lpstr>ICC5_MemberMonths_2018</vt:lpstr>
      <vt:lpstr>ICC5_MemberMonths_2019</vt:lpstr>
      <vt:lpstr>ICC5_MemberMonths_2020</vt:lpstr>
      <vt:lpstr>ICC5_MemberMonths_2021</vt:lpstr>
      <vt:lpstr>ICC6_MemberMonths_2018</vt:lpstr>
      <vt:lpstr>ICC6_MemberMonths_2019</vt:lpstr>
      <vt:lpstr>ICC6_MemberMonths_2020</vt:lpstr>
      <vt:lpstr>ICC6_MemberMonths_2021</vt:lpstr>
      <vt:lpstr>Insurer_Code</vt:lpstr>
      <vt:lpstr>Medicaid_MemberMonths_2018</vt:lpstr>
      <vt:lpstr>Medicaid_MemberMonths_2019</vt:lpstr>
      <vt:lpstr>Medicaid_MemberMonths_2020</vt:lpstr>
      <vt:lpstr>Medicaid_MemberMonths_2021</vt:lpstr>
      <vt:lpstr>Medicare_MemberMonths_2018</vt:lpstr>
      <vt:lpstr>Medicare_MemberMonths_2019</vt:lpstr>
      <vt:lpstr>Medicare_MemberMonths_2020</vt:lpstr>
      <vt:lpstr>Medicare_MemberMonths_2021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Grace Flaherty</dc:creator>
  <cp:keywords/>
  <dc:description/>
  <cp:lastModifiedBy>Lezlie Mayville</cp:lastModifiedBy>
  <cp:revision/>
  <dcterms:created xsi:type="dcterms:W3CDTF">2022-01-26T21:10:14Z</dcterms:created>
  <dcterms:modified xsi:type="dcterms:W3CDTF">2022-05-18T21:39:30Z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0x010100A6905CCA8E9DD647A2E0EAE79DD49197</vt:lpwstr>
  </property>
</Properties>
</file>